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ur\uitslagen\"/>
    </mc:Choice>
  </mc:AlternateContent>
  <xr:revisionPtr revIDLastSave="0" documentId="13_ncr:1_{CFA0CECF-F8F6-4B0A-9501-BFADEED61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8" i="1"/>
  <c r="M20" i="1"/>
  <c r="M26" i="1"/>
  <c r="M12" i="1"/>
  <c r="M8" i="1"/>
  <c r="N13" i="1"/>
  <c r="L13" i="1"/>
  <c r="L10" i="1"/>
  <c r="K31" i="1"/>
  <c r="K19" i="1"/>
  <c r="K28" i="1"/>
  <c r="K21" i="1"/>
  <c r="K11" i="1"/>
  <c r="K25" i="1"/>
  <c r="K24" i="1"/>
  <c r="K17" i="1"/>
  <c r="K15" i="1"/>
  <c r="K9" i="1"/>
  <c r="K10" i="1"/>
  <c r="K13" i="1"/>
  <c r="K29" i="1"/>
  <c r="K34" i="1"/>
  <c r="K35" i="1"/>
  <c r="K18" i="1"/>
  <c r="K27" i="1"/>
  <c r="K16" i="1"/>
  <c r="K26" i="1"/>
  <c r="K12" i="1"/>
  <c r="K20" i="1"/>
  <c r="J12" i="1"/>
  <c r="J20" i="1"/>
  <c r="J18" i="1"/>
  <c r="J14" i="1"/>
  <c r="J8" i="1"/>
  <c r="J30" i="1"/>
  <c r="J22" i="1"/>
  <c r="J9" i="1"/>
  <c r="J31" i="1"/>
  <c r="J28" i="1"/>
  <c r="J10" i="1"/>
  <c r="J32" i="1"/>
  <c r="J21" i="1"/>
  <c r="J13" i="1"/>
  <c r="J11" i="1"/>
  <c r="J25" i="1"/>
  <c r="J34" i="1"/>
  <c r="J24" i="1"/>
  <c r="J23" i="1"/>
  <c r="J16" i="1"/>
  <c r="J15" i="1"/>
  <c r="J26" i="1"/>
  <c r="I33" i="1"/>
  <c r="I12" i="1"/>
  <c r="I30" i="1"/>
  <c r="I24" i="1"/>
  <c r="I20" i="1"/>
  <c r="I18" i="1"/>
  <c r="I9" i="1"/>
  <c r="I31" i="1"/>
  <c r="I28" i="1"/>
  <c r="I19" i="1"/>
  <c r="I10" i="1"/>
  <c r="I21" i="1"/>
  <c r="I13" i="1"/>
  <c r="I11" i="1"/>
  <c r="I25" i="1"/>
  <c r="I29" i="1"/>
  <c r="I34" i="1"/>
  <c r="I35" i="1"/>
  <c r="I27" i="1"/>
  <c r="I17" i="1"/>
  <c r="I16" i="1"/>
  <c r="I15" i="1"/>
  <c r="I22" i="1"/>
  <c r="I32" i="1"/>
  <c r="I23" i="1"/>
  <c r="H9" i="1"/>
  <c r="H31" i="1"/>
  <c r="H28" i="1"/>
  <c r="H19" i="1"/>
  <c r="H10" i="1"/>
  <c r="H21" i="1"/>
  <c r="H13" i="1"/>
  <c r="H11" i="1"/>
  <c r="H25" i="1"/>
  <c r="H29" i="1"/>
  <c r="H34" i="1"/>
  <c r="H35" i="1"/>
  <c r="H18" i="1"/>
  <c r="H24" i="1"/>
  <c r="H27" i="1"/>
  <c r="H17" i="1"/>
  <c r="H16" i="1"/>
  <c r="H15" i="1"/>
  <c r="H33" i="1"/>
  <c r="H26" i="1"/>
  <c r="H30" i="1"/>
  <c r="H12" i="1"/>
  <c r="H20" i="1"/>
  <c r="H23" i="1" l="1"/>
  <c r="H22" i="1"/>
  <c r="H32" i="1"/>
  <c r="N31" i="1"/>
  <c r="N35" i="1"/>
  <c r="O39" i="1"/>
  <c r="N29" i="1" l="1"/>
  <c r="N14" i="1"/>
  <c r="N15" i="1" l="1"/>
  <c r="N16" i="1"/>
  <c r="N17" i="1"/>
  <c r="N23" i="1"/>
  <c r="N27" i="1"/>
  <c r="N24" i="1"/>
  <c r="N18" i="1"/>
  <c r="N34" i="1"/>
  <c r="N25" i="1"/>
  <c r="N11" i="1"/>
  <c r="N21" i="1"/>
  <c r="N20" i="1"/>
  <c r="N26" i="1"/>
  <c r="N8" i="1"/>
  <c r="N32" i="1"/>
  <c r="N12" i="1"/>
  <c r="N10" i="1"/>
  <c r="N19" i="1"/>
  <c r="N30" i="1"/>
  <c r="N33" i="1"/>
  <c r="N28" i="1"/>
  <c r="N9" i="1"/>
  <c r="N22" i="1"/>
  <c r="F37" i="1" l="1"/>
  <c r="F38" i="1" s="1"/>
  <c r="G37" i="1"/>
  <c r="G38" i="1" s="1"/>
  <c r="L37" i="1" l="1"/>
  <c r="L38" i="1" s="1"/>
  <c r="M37" i="1"/>
  <c r="M38" i="1" s="1"/>
  <c r="J37" i="1"/>
  <c r="J38" i="1" s="1"/>
  <c r="I37" i="1"/>
  <c r="I38" i="1" s="1"/>
  <c r="K37" i="1"/>
  <c r="K38" i="1" s="1"/>
  <c r="H37" i="1"/>
  <c r="H38" i="1" s="1"/>
  <c r="O38" i="1" l="1"/>
  <c r="O40" i="1" s="1"/>
  <c r="N37" i="1"/>
  <c r="N38" i="1" s="1"/>
</calcChain>
</file>

<file path=xl/sharedStrings.xml><?xml version="1.0" encoding="utf-8"?>
<sst xmlns="http://schemas.openxmlformats.org/spreadsheetml/2006/main" count="173" uniqueCount="89">
  <si>
    <t xml:space="preserve"> </t>
  </si>
  <si>
    <t>Totaal</t>
  </si>
  <si>
    <t>6</t>
  </si>
  <si>
    <t>7</t>
  </si>
  <si>
    <t>8</t>
  </si>
  <si>
    <t>9</t>
  </si>
  <si>
    <t>10</t>
  </si>
  <si>
    <t>TOTAAL</t>
  </si>
  <si>
    <t>Dagpr.</t>
  </si>
  <si>
    <t>ETPT</t>
  </si>
  <si>
    <t>Eind AK</t>
  </si>
  <si>
    <t>Berg</t>
  </si>
  <si>
    <t>Groene</t>
  </si>
  <si>
    <t>Witte</t>
  </si>
  <si>
    <t>Beste 5</t>
  </si>
  <si>
    <t>Origina</t>
  </si>
  <si>
    <t>Naam</t>
  </si>
  <si>
    <t>CUM</t>
  </si>
  <si>
    <t>Indiv.</t>
  </si>
  <si>
    <t>Trui</t>
  </si>
  <si>
    <t>in tijd</t>
  </si>
  <si>
    <t>liteit</t>
  </si>
  <si>
    <t>CENTEN</t>
  </si>
  <si>
    <t>EURO</t>
  </si>
  <si>
    <t>Nm.</t>
  </si>
  <si>
    <t>Rob E</t>
  </si>
  <si>
    <t>***</t>
  </si>
  <si>
    <t>RbE</t>
  </si>
  <si>
    <t>Jeroen</t>
  </si>
  <si>
    <t>Jer</t>
  </si>
  <si>
    <t>Edu</t>
  </si>
  <si>
    <t>David</t>
  </si>
  <si>
    <t>Dav</t>
  </si>
  <si>
    <t>Eddie</t>
  </si>
  <si>
    <t>Edd</t>
  </si>
  <si>
    <t>Diana</t>
  </si>
  <si>
    <t>Dia</t>
  </si>
  <si>
    <t>Rogier</t>
  </si>
  <si>
    <t>Rog</t>
  </si>
  <si>
    <t>Marcel</t>
  </si>
  <si>
    <t>Mcl</t>
  </si>
  <si>
    <t>Albert</t>
  </si>
  <si>
    <t>Alb</t>
  </si>
  <si>
    <t>Pieter</t>
  </si>
  <si>
    <t>Pie</t>
  </si>
  <si>
    <t>Hans</t>
  </si>
  <si>
    <t>Han</t>
  </si>
  <si>
    <t>Rob M</t>
  </si>
  <si>
    <t>RbM</t>
  </si>
  <si>
    <t>Wim</t>
  </si>
  <si>
    <t>John</t>
  </si>
  <si>
    <t>Joh</t>
  </si>
  <si>
    <t>Vincent</t>
  </si>
  <si>
    <t>Vin</t>
  </si>
  <si>
    <t>Josine</t>
  </si>
  <si>
    <t>Jos</t>
  </si>
  <si>
    <t>Erik B</t>
  </si>
  <si>
    <t>ErB</t>
  </si>
  <si>
    <t>Erik D</t>
  </si>
  <si>
    <t>ErD</t>
  </si>
  <si>
    <t>Fred</t>
  </si>
  <si>
    <t>Fre</t>
  </si>
  <si>
    <t>Maarten</t>
  </si>
  <si>
    <t>Maa</t>
  </si>
  <si>
    <t>Kika</t>
  </si>
  <si>
    <t>Kik</t>
  </si>
  <si>
    <t>Monique</t>
  </si>
  <si>
    <t>Mon</t>
  </si>
  <si>
    <t>CENT</t>
  </si>
  <si>
    <t>&lt;---</t>
  </si>
  <si>
    <t>CNT</t>
  </si>
  <si>
    <t>Euro</t>
  </si>
  <si>
    <t>De Strijkstok</t>
  </si>
  <si>
    <t>----&gt;</t>
  </si>
  <si>
    <t>LPBV</t>
  </si>
  <si>
    <t>:</t>
  </si>
  <si>
    <t>Tom</t>
  </si>
  <si>
    <t>24</t>
  </si>
  <si>
    <t>Frank B</t>
  </si>
  <si>
    <t>Frank de W</t>
  </si>
  <si>
    <t>Frans</t>
  </si>
  <si>
    <t>Ronald</t>
  </si>
  <si>
    <t>FrB</t>
  </si>
  <si>
    <t>FrW</t>
  </si>
  <si>
    <t>FrH</t>
  </si>
  <si>
    <t>Ron</t>
  </si>
  <si>
    <t>Irene</t>
  </si>
  <si>
    <t>Ire</t>
  </si>
  <si>
    <t>+ €2,70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</si>
</sst>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Courier"/>
      <family val="3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3" fillId="0" borderId="3" xfId="0" applyNumberFormat="1" applyFont="1" applyBorder="1" applyAlignment="1" applyProtection="1">
      <alignment horizontal="center" vertical="top"/>
      <protection locked="0"/>
    </xf>
    <xf numFmtId="2" fontId="3" fillId="0" borderId="4" xfId="0" applyNumberFormat="1" applyFont="1" applyBorder="1" applyAlignment="1" applyProtection="1">
      <alignment horizontal="center" vertical="top"/>
      <protection locked="0"/>
    </xf>
    <xf numFmtId="2" fontId="3" fillId="0" borderId="5" xfId="0" applyNumberFormat="1" applyFont="1" applyBorder="1" applyAlignment="1" applyProtection="1">
      <alignment horizontal="center" vertical="top"/>
      <protection locked="0"/>
    </xf>
    <xf numFmtId="2" fontId="4" fillId="2" borderId="5" xfId="0" applyNumberFormat="1" applyFont="1" applyFill="1" applyBorder="1" applyAlignment="1" applyProtection="1">
      <alignment horizontal="center" vertical="top"/>
      <protection locked="0"/>
    </xf>
    <xf numFmtId="2" fontId="1" fillId="0" borderId="0" xfId="0" applyNumberFormat="1" applyFont="1" applyAlignment="1" applyProtection="1">
      <alignment horizontal="center" vertical="top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3" fillId="2" borderId="0" xfId="0" applyNumberFormat="1" applyFont="1" applyFill="1" applyAlignment="1" applyProtection="1">
      <alignment horizontal="center" vertical="top"/>
      <protection locked="0"/>
    </xf>
    <xf numFmtId="2" fontId="3" fillId="2" borderId="0" xfId="0" quotePrefix="1" applyNumberFormat="1" applyFont="1" applyFill="1" applyAlignment="1" applyProtection="1">
      <alignment horizontal="center" vertical="top"/>
      <protection locked="0"/>
    </xf>
    <xf numFmtId="2" fontId="3" fillId="2" borderId="5" xfId="0" quotePrefix="1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2" fontId="3" fillId="0" borderId="8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2" fontId="0" fillId="0" borderId="0" xfId="0" applyNumberFormat="1" applyAlignment="1" applyProtection="1">
      <alignment horizontal="center" vertical="top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2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2" fontId="5" fillId="0" borderId="0" xfId="0" quotePrefix="1" applyNumberFormat="1" applyFont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0" xfId="0" applyNumberFormat="1" applyFont="1" applyFill="1" applyAlignment="1">
      <alignment horizontal="center" vertical="top"/>
    </xf>
    <xf numFmtId="2" fontId="4" fillId="2" borderId="0" xfId="0" quotePrefix="1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2" fontId="3" fillId="0" borderId="9" xfId="0" applyNumberFormat="1" applyFont="1" applyBorder="1" applyAlignment="1" applyProtection="1">
      <alignment horizontal="center" vertical="top"/>
      <protection locked="0"/>
    </xf>
    <xf numFmtId="2" fontId="3" fillId="0" borderId="10" xfId="0" applyNumberFormat="1" applyFont="1" applyBorder="1" applyAlignment="1">
      <alignment horizontal="center" vertical="top"/>
    </xf>
    <xf numFmtId="2" fontId="3" fillId="0" borderId="10" xfId="0" applyNumberFormat="1" applyFont="1" applyBorder="1" applyAlignment="1" applyProtection="1">
      <alignment horizontal="center" vertical="top"/>
      <protection locked="0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 applyProtection="1">
      <alignment horizontal="center" vertical="top"/>
      <protection locked="0"/>
    </xf>
    <xf numFmtId="2" fontId="3" fillId="0" borderId="12" xfId="0" applyNumberFormat="1" applyFont="1" applyBorder="1" applyAlignment="1" applyProtection="1">
      <alignment horizontal="center" vertical="top"/>
      <protection locked="0"/>
    </xf>
    <xf numFmtId="2" fontId="5" fillId="0" borderId="13" xfId="0" applyNumberFormat="1" applyFont="1" applyBorder="1" applyAlignment="1" applyProtection="1">
      <alignment horizontal="center" vertical="top"/>
      <protection locked="0"/>
    </xf>
    <xf numFmtId="2" fontId="3" fillId="0" borderId="14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center" vertical="top"/>
    </xf>
    <xf numFmtId="2" fontId="3" fillId="0" borderId="15" xfId="0" applyNumberFormat="1" applyFont="1" applyBorder="1" applyAlignment="1" applyProtection="1">
      <alignment horizontal="center" vertical="top"/>
      <protection locked="0"/>
    </xf>
    <xf numFmtId="2" fontId="5" fillId="0" borderId="15" xfId="0" applyNumberFormat="1" applyFont="1" applyBorder="1" applyAlignment="1">
      <alignment horizontal="center" vertical="top"/>
    </xf>
    <xf numFmtId="2" fontId="5" fillId="0" borderId="16" xfId="0" applyNumberFormat="1" applyFont="1" applyBorder="1" applyAlignment="1" applyProtection="1">
      <alignment horizontal="center" vertical="top"/>
      <protection locked="0"/>
    </xf>
    <xf numFmtId="2" fontId="3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 applyProtection="1">
      <alignment horizontal="center" vertical="top"/>
      <protection locked="0"/>
    </xf>
    <xf numFmtId="2" fontId="5" fillId="0" borderId="0" xfId="0" applyNumberFormat="1" applyFont="1" applyBorder="1" applyAlignment="1">
      <alignment horizontal="center" vertical="top"/>
    </xf>
    <xf numFmtId="2" fontId="3" fillId="0" borderId="17" xfId="0" applyNumberFormat="1" applyFont="1" applyBorder="1" applyAlignment="1" applyProtection="1">
      <alignment horizontal="center" vertical="top"/>
      <protection locked="0"/>
    </xf>
    <xf numFmtId="2" fontId="3" fillId="0" borderId="18" xfId="0" applyNumberFormat="1" applyFont="1" applyBorder="1" applyAlignment="1">
      <alignment horizontal="center" vertical="top"/>
    </xf>
    <xf numFmtId="2" fontId="3" fillId="0" borderId="18" xfId="0" applyNumberFormat="1" applyFont="1" applyBorder="1" applyAlignment="1" applyProtection="1">
      <alignment horizontal="center" vertical="top"/>
      <protection locked="0"/>
    </xf>
    <xf numFmtId="2" fontId="5" fillId="0" borderId="18" xfId="0" applyNumberFormat="1" applyFont="1" applyBorder="1" applyAlignment="1">
      <alignment horizontal="center" vertical="top"/>
    </xf>
    <xf numFmtId="2" fontId="5" fillId="0" borderId="19" xfId="0" applyNumberFormat="1" applyFont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P43"/>
  <sheetViews>
    <sheetView tabSelected="1" zoomScale="110" zoomScaleNormal="110" workbookViewId="0">
      <pane ySplit="2280" topLeftCell="A12" activePane="bottomLeft"/>
      <selection activeCell="O6" sqref="O6"/>
      <selection pane="bottomLeft" activeCell="S25" sqref="S25"/>
    </sheetView>
  </sheetViews>
  <sheetFormatPr defaultRowHeight="12.75" x14ac:dyDescent="0.2"/>
  <cols>
    <col min="1" max="3" width="9.140625" style="17"/>
    <col min="4" max="4" width="8.42578125" style="17" customWidth="1"/>
    <col min="5" max="5" width="9.5703125" style="17" customWidth="1"/>
    <col min="6" max="7" width="8.5703125" style="17" customWidth="1"/>
    <col min="8" max="9" width="7.85546875" style="17" customWidth="1"/>
    <col min="10" max="11" width="7.7109375" style="17" customWidth="1"/>
    <col min="12" max="12" width="8.140625" style="17" customWidth="1"/>
    <col min="13" max="13" width="8.7109375" style="17" customWidth="1"/>
    <col min="14" max="14" width="8.85546875" style="17" customWidth="1"/>
    <col min="15" max="15" width="8.140625" style="17" customWidth="1"/>
    <col min="16" max="16" width="6.140625" style="17" customWidth="1"/>
    <col min="17" max="17" width="4.5703125" style="17" customWidth="1"/>
    <col min="18" max="86" width="12.7109375" style="17" customWidth="1"/>
    <col min="87" max="16384" width="9.140625" style="17"/>
  </cols>
  <sheetData>
    <row r="3" spans="5:16" ht="13.5" thickBot="1" x14ac:dyDescent="0.25"/>
    <row r="4" spans="5:16" ht="16.149999999999999" customHeight="1" x14ac:dyDescent="0.2">
      <c r="E4" s="26" t="s">
        <v>0</v>
      </c>
      <c r="F4" s="27" t="s">
        <v>1</v>
      </c>
      <c r="G4" s="28" t="s">
        <v>2</v>
      </c>
      <c r="H4" s="28" t="s">
        <v>3</v>
      </c>
      <c r="I4" s="28" t="s">
        <v>4</v>
      </c>
      <c r="J4" s="28" t="s">
        <v>5</v>
      </c>
      <c r="K4" s="28" t="s">
        <v>6</v>
      </c>
      <c r="L4" s="28">
        <v>11</v>
      </c>
      <c r="M4" s="28">
        <v>12</v>
      </c>
      <c r="N4" s="29" t="s">
        <v>7</v>
      </c>
      <c r="O4" s="29" t="s">
        <v>7</v>
      </c>
      <c r="P4" s="1"/>
    </row>
    <row r="5" spans="5:16" ht="16.149999999999999" customHeight="1" x14ac:dyDescent="0.2">
      <c r="E5" s="30"/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31"/>
      <c r="O5" s="32" t="s">
        <v>88</v>
      </c>
      <c r="P5" s="3"/>
    </row>
    <row r="6" spans="5:16" ht="16.149999999999999" customHeight="1" x14ac:dyDescent="0.2">
      <c r="E6" s="30" t="s">
        <v>16</v>
      </c>
      <c r="F6" s="36" t="s">
        <v>77</v>
      </c>
      <c r="G6" s="16" t="s">
        <v>17</v>
      </c>
      <c r="H6" s="16" t="s">
        <v>18</v>
      </c>
      <c r="I6" s="16" t="s">
        <v>19</v>
      </c>
      <c r="J6" s="16" t="s">
        <v>19</v>
      </c>
      <c r="K6" s="16" t="s">
        <v>19</v>
      </c>
      <c r="L6" s="16" t="s">
        <v>20</v>
      </c>
      <c r="M6" s="16" t="s">
        <v>21</v>
      </c>
      <c r="N6" s="31" t="s">
        <v>22</v>
      </c>
      <c r="O6" s="31" t="s">
        <v>23</v>
      </c>
      <c r="P6" s="3" t="s">
        <v>24</v>
      </c>
    </row>
    <row r="7" spans="5:16" ht="3.75" customHeight="1" x14ac:dyDescent="0.2">
      <c r="E7" s="33"/>
      <c r="F7" s="34"/>
      <c r="G7" s="34"/>
      <c r="H7" s="34"/>
      <c r="I7" s="34"/>
      <c r="J7" s="34"/>
      <c r="K7" s="35"/>
      <c r="L7" s="34"/>
      <c r="M7" s="34"/>
      <c r="N7" s="34"/>
      <c r="O7" s="34"/>
      <c r="P7" s="4"/>
    </row>
    <row r="8" spans="5:16" ht="16.149999999999999" customHeight="1" x14ac:dyDescent="0.2">
      <c r="E8" s="38" t="s">
        <v>64</v>
      </c>
      <c r="F8" s="39">
        <v>4972.78</v>
      </c>
      <c r="G8" s="39" t="s">
        <v>26</v>
      </c>
      <c r="H8" s="39" t="s">
        <v>26</v>
      </c>
      <c r="I8" s="39" t="s">
        <v>26</v>
      </c>
      <c r="J8" s="39">
        <f>1000+83.33+125</f>
        <v>1208.33</v>
      </c>
      <c r="K8" s="40" t="s">
        <v>26</v>
      </c>
      <c r="L8" s="40" t="s">
        <v>26</v>
      </c>
      <c r="M8" s="40">
        <f>625</f>
        <v>625</v>
      </c>
      <c r="N8" s="39">
        <f>SUM(F8:M8)</f>
        <v>6806.11</v>
      </c>
      <c r="O8" s="41">
        <f>(N8/100)+2.7</f>
        <v>70.761099999999999</v>
      </c>
      <c r="P8" s="42" t="s">
        <v>65</v>
      </c>
    </row>
    <row r="9" spans="5:16" ht="16.149999999999999" customHeight="1" x14ac:dyDescent="0.2">
      <c r="E9" s="43" t="s">
        <v>52</v>
      </c>
      <c r="F9" s="50">
        <v>3600.72</v>
      </c>
      <c r="G9" s="51">
        <v>1400</v>
      </c>
      <c r="H9" s="50">
        <f>93.75+108.33+16.67+22.22</f>
        <v>240.97</v>
      </c>
      <c r="I9" s="50">
        <f>62.5+41.67</f>
        <v>104.17</v>
      </c>
      <c r="J9" s="50">
        <f>31.25</f>
        <v>31.25</v>
      </c>
      <c r="K9" s="50">
        <f>27.78</f>
        <v>27.78</v>
      </c>
      <c r="L9" s="51">
        <v>550</v>
      </c>
      <c r="M9" s="51" t="s">
        <v>26</v>
      </c>
      <c r="N9" s="50">
        <f>SUM(F9:M9)</f>
        <v>5954.8899999999994</v>
      </c>
      <c r="O9" s="52">
        <f t="shared" ref="O9:O35" si="0">(N9/100)+2.7</f>
        <v>62.248899999999999</v>
      </c>
      <c r="P9" s="44" t="s">
        <v>53</v>
      </c>
    </row>
    <row r="10" spans="5:16" ht="16.149999999999999" customHeight="1" x14ac:dyDescent="0.2">
      <c r="E10" s="43" t="s">
        <v>66</v>
      </c>
      <c r="F10" s="50">
        <v>3378.22</v>
      </c>
      <c r="G10" s="51">
        <v>1300</v>
      </c>
      <c r="H10" s="50">
        <f>93.75+108.33+16.67+22.22</f>
        <v>240.97</v>
      </c>
      <c r="I10" s="50">
        <f>62.5+41.67</f>
        <v>104.17</v>
      </c>
      <c r="J10" s="50">
        <f>31.25</f>
        <v>31.25</v>
      </c>
      <c r="K10" s="50">
        <f>27.78</f>
        <v>27.78</v>
      </c>
      <c r="L10" s="51">
        <f>550</f>
        <v>550</v>
      </c>
      <c r="M10" s="51" t="s">
        <v>26</v>
      </c>
      <c r="N10" s="50">
        <f>SUM(F10:M10)</f>
        <v>5632.3899999999994</v>
      </c>
      <c r="O10" s="52">
        <f t="shared" si="0"/>
        <v>59.023899999999998</v>
      </c>
      <c r="P10" s="44" t="s">
        <v>67</v>
      </c>
    </row>
    <row r="11" spans="5:16" ht="15" customHeight="1" x14ac:dyDescent="0.2">
      <c r="E11" s="43" t="s">
        <v>45</v>
      </c>
      <c r="F11" s="50">
        <v>2718.91</v>
      </c>
      <c r="G11" s="51">
        <v>1500</v>
      </c>
      <c r="H11" s="50">
        <f>93.75+16.67+22.22+12.5</f>
        <v>145.13999999999999</v>
      </c>
      <c r="I11" s="50">
        <f>62.5+41.67</f>
        <v>104.17</v>
      </c>
      <c r="J11" s="50">
        <f>83.33+31.25</f>
        <v>114.58</v>
      </c>
      <c r="K11" s="50">
        <f>27.78+31.25</f>
        <v>59.03</v>
      </c>
      <c r="L11" s="51">
        <v>300</v>
      </c>
      <c r="M11" s="51" t="s">
        <v>26</v>
      </c>
      <c r="N11" s="50">
        <f>SUM(F11:M11)</f>
        <v>4941.83</v>
      </c>
      <c r="O11" s="52">
        <f t="shared" si="0"/>
        <v>52.118300000000005</v>
      </c>
      <c r="P11" s="44" t="s">
        <v>46</v>
      </c>
    </row>
    <row r="12" spans="5:16" ht="16.149999999999999" customHeight="1" x14ac:dyDescent="0.2">
      <c r="E12" s="43" t="s">
        <v>39</v>
      </c>
      <c r="F12" s="50">
        <v>3136.67</v>
      </c>
      <c r="G12" s="50" t="s">
        <v>26</v>
      </c>
      <c r="H12" s="50">
        <f>333.33</f>
        <v>333.33</v>
      </c>
      <c r="I12" s="50">
        <f>166.67+83.33</f>
        <v>250</v>
      </c>
      <c r="J12" s="50">
        <f>83.33+33.33</f>
        <v>116.66</v>
      </c>
      <c r="K12" s="50">
        <f>333.33</f>
        <v>333.33</v>
      </c>
      <c r="L12" s="51" t="s">
        <v>26</v>
      </c>
      <c r="M12" s="51">
        <f>625</f>
        <v>625</v>
      </c>
      <c r="N12" s="50">
        <f>SUM(F12:M12)</f>
        <v>4794.99</v>
      </c>
      <c r="O12" s="52">
        <f t="shared" si="0"/>
        <v>50.649900000000002</v>
      </c>
      <c r="P12" s="44" t="s">
        <v>40</v>
      </c>
    </row>
    <row r="13" spans="5:16" ht="16.149999999999999" customHeight="1" x14ac:dyDescent="0.2">
      <c r="E13" s="43" t="s">
        <v>86</v>
      </c>
      <c r="F13" s="50">
        <v>2583.58</v>
      </c>
      <c r="G13" s="51">
        <v>1100</v>
      </c>
      <c r="H13" s="50">
        <f>93.75+108.33+16.67+22.22</f>
        <v>240.97</v>
      </c>
      <c r="I13" s="50">
        <f>62.5+41.67</f>
        <v>104.17</v>
      </c>
      <c r="J13" s="50">
        <f>31.25</f>
        <v>31.25</v>
      </c>
      <c r="K13" s="50">
        <f>27.78</f>
        <v>27.78</v>
      </c>
      <c r="L13" s="51">
        <f>550</f>
        <v>550</v>
      </c>
      <c r="M13" s="51" t="s">
        <v>26</v>
      </c>
      <c r="N13" s="50">
        <f>SUM(F13:M13)</f>
        <v>4637.75</v>
      </c>
      <c r="O13" s="52">
        <f t="shared" si="0"/>
        <v>49.077500000000001</v>
      </c>
      <c r="P13" s="44" t="s">
        <v>87</v>
      </c>
    </row>
    <row r="14" spans="5:16" ht="16.149999999999999" customHeight="1" x14ac:dyDescent="0.2">
      <c r="E14" s="43" t="s">
        <v>76</v>
      </c>
      <c r="F14" s="50">
        <v>3213.61</v>
      </c>
      <c r="G14" s="50" t="s">
        <v>26</v>
      </c>
      <c r="H14" s="50" t="s">
        <v>26</v>
      </c>
      <c r="I14" s="50" t="s">
        <v>26</v>
      </c>
      <c r="J14" s="50">
        <f>83.33+125</f>
        <v>208.32999999999998</v>
      </c>
      <c r="K14" s="51" t="s">
        <v>26</v>
      </c>
      <c r="L14" s="51" t="s">
        <v>26</v>
      </c>
      <c r="M14" s="51" t="s">
        <v>26</v>
      </c>
      <c r="N14" s="50">
        <f>SUM(F14:M14)</f>
        <v>3421.94</v>
      </c>
      <c r="O14" s="52">
        <f t="shared" si="0"/>
        <v>36.919400000000003</v>
      </c>
      <c r="P14" s="44" t="s">
        <v>76</v>
      </c>
    </row>
    <row r="15" spans="5:16" ht="16.149999999999999" customHeight="1" x14ac:dyDescent="0.2">
      <c r="E15" s="43" t="s">
        <v>41</v>
      </c>
      <c r="F15" s="50">
        <v>1414.46</v>
      </c>
      <c r="G15" s="51">
        <v>1200</v>
      </c>
      <c r="H15" s="50">
        <f>93.75+16.676+12.5</f>
        <v>122.926</v>
      </c>
      <c r="I15" s="50">
        <f>62.5+41.67</f>
        <v>104.17</v>
      </c>
      <c r="J15" s="50">
        <f>83.33+31.25</f>
        <v>114.58</v>
      </c>
      <c r="K15" s="50">
        <f>27.78+31.25</f>
        <v>59.03</v>
      </c>
      <c r="L15" s="51" t="s">
        <v>26</v>
      </c>
      <c r="M15" s="51" t="s">
        <v>26</v>
      </c>
      <c r="N15" s="50">
        <f>SUM(F15:M15)</f>
        <v>3015.1660000000002</v>
      </c>
      <c r="O15" s="52">
        <f t="shared" si="0"/>
        <v>32.851660000000003</v>
      </c>
      <c r="P15" s="44" t="s">
        <v>42</v>
      </c>
    </row>
    <row r="16" spans="5:16" ht="16.149999999999999" customHeight="1" x14ac:dyDescent="0.2">
      <c r="E16" s="43" t="s">
        <v>31</v>
      </c>
      <c r="F16" s="50">
        <v>1657.36</v>
      </c>
      <c r="G16" s="51">
        <v>1000</v>
      </c>
      <c r="H16" s="50">
        <f>93.75+16.67+22.22</f>
        <v>132.63999999999999</v>
      </c>
      <c r="I16" s="50">
        <f>62.5+41.67</f>
        <v>104.17</v>
      </c>
      <c r="J16" s="50">
        <f>31.25</f>
        <v>31.25</v>
      </c>
      <c r="K16" s="50">
        <f>27.78</f>
        <v>27.78</v>
      </c>
      <c r="L16" s="51" t="s">
        <v>26</v>
      </c>
      <c r="M16" s="51" t="s">
        <v>26</v>
      </c>
      <c r="N16" s="50">
        <f>SUM(F16:M16)</f>
        <v>2953.2</v>
      </c>
      <c r="O16" s="52">
        <f t="shared" si="0"/>
        <v>32.231999999999999</v>
      </c>
      <c r="P16" s="44" t="s">
        <v>32</v>
      </c>
    </row>
    <row r="17" spans="5:16" ht="16.149999999999999" customHeight="1" x14ac:dyDescent="0.2">
      <c r="E17" s="43" t="s">
        <v>35</v>
      </c>
      <c r="F17" s="50">
        <v>484.86</v>
      </c>
      <c r="G17" s="51">
        <v>200</v>
      </c>
      <c r="H17" s="50">
        <f>83.33+133.33+16.67+22.22+12.5</f>
        <v>268.05000000000007</v>
      </c>
      <c r="I17" s="50">
        <f>41.67</f>
        <v>41.67</v>
      </c>
      <c r="J17" s="51" t="s">
        <v>26</v>
      </c>
      <c r="K17" s="50">
        <f>250+27.78+31.25</f>
        <v>309.02999999999997</v>
      </c>
      <c r="L17" s="51">
        <v>1500</v>
      </c>
      <c r="M17" s="51" t="s">
        <v>26</v>
      </c>
      <c r="N17" s="50">
        <f>SUM(F17:M17)</f>
        <v>2803.61</v>
      </c>
      <c r="O17" s="52">
        <f t="shared" si="0"/>
        <v>30.7361</v>
      </c>
      <c r="P17" s="44" t="s">
        <v>36</v>
      </c>
    </row>
    <row r="18" spans="5:16" ht="16.149999999999999" customHeight="1" thickBot="1" x14ac:dyDescent="0.25">
      <c r="E18" s="53" t="s">
        <v>58</v>
      </c>
      <c r="F18" s="54">
        <v>1136.67</v>
      </c>
      <c r="G18" s="55">
        <v>600</v>
      </c>
      <c r="H18" s="54">
        <f>333.33+83.33+16.67</f>
        <v>433.33</v>
      </c>
      <c r="I18" s="54">
        <f>41.67+166.67</f>
        <v>208.33999999999997</v>
      </c>
      <c r="J18" s="54">
        <f>33.33</f>
        <v>33.33</v>
      </c>
      <c r="K18" s="54">
        <f>333.33+27.78</f>
        <v>361.11</v>
      </c>
      <c r="L18" s="55" t="s">
        <v>26</v>
      </c>
      <c r="M18" s="55" t="s">
        <v>26</v>
      </c>
      <c r="N18" s="54">
        <f>SUM(F18:M18)</f>
        <v>2772.78</v>
      </c>
      <c r="O18" s="56">
        <f t="shared" si="0"/>
        <v>30.427800000000001</v>
      </c>
      <c r="P18" s="57" t="s">
        <v>59</v>
      </c>
    </row>
    <row r="19" spans="5:16" ht="16.149999999999999" customHeight="1" thickTop="1" x14ac:dyDescent="0.2">
      <c r="E19" s="43" t="s">
        <v>43</v>
      </c>
      <c r="F19" s="50">
        <v>978.14</v>
      </c>
      <c r="G19" s="51">
        <v>500</v>
      </c>
      <c r="H19" s="50">
        <f>375+133.33+16.67+12.5</f>
        <v>537.5</v>
      </c>
      <c r="I19" s="50">
        <f>41.67</f>
        <v>41.67</v>
      </c>
      <c r="J19" s="51" t="s">
        <v>26</v>
      </c>
      <c r="K19" s="50">
        <f>250+27.78+31.25</f>
        <v>309.02999999999997</v>
      </c>
      <c r="L19" s="51">
        <v>200</v>
      </c>
      <c r="M19" s="51" t="s">
        <v>26</v>
      </c>
      <c r="N19" s="50">
        <f>SUM(F19:M19)</f>
        <v>2566.34</v>
      </c>
      <c r="O19" s="52">
        <f t="shared" si="0"/>
        <v>28.363400000000002</v>
      </c>
      <c r="P19" s="44" t="s">
        <v>44</v>
      </c>
    </row>
    <row r="20" spans="5:16" ht="16.149999999999999" customHeight="1" x14ac:dyDescent="0.2">
      <c r="E20" s="43" t="s">
        <v>50</v>
      </c>
      <c r="F20" s="50">
        <v>1502.86</v>
      </c>
      <c r="G20" s="50" t="s">
        <v>26</v>
      </c>
      <c r="H20" s="50">
        <f>333.33</f>
        <v>333.33</v>
      </c>
      <c r="I20" s="51">
        <f>166.67</f>
        <v>166.67</v>
      </c>
      <c r="J20" s="51">
        <f>33.33</f>
        <v>33.33</v>
      </c>
      <c r="K20" s="51">
        <f>333.33</f>
        <v>333.33</v>
      </c>
      <c r="L20" s="51" t="s">
        <v>26</v>
      </c>
      <c r="M20" s="51">
        <f>100</f>
        <v>100</v>
      </c>
      <c r="N20" s="50">
        <f>SUM(F20:M20)</f>
        <v>2469.52</v>
      </c>
      <c r="O20" s="52">
        <f t="shared" si="0"/>
        <v>27.395199999999999</v>
      </c>
      <c r="P20" s="44" t="s">
        <v>51</v>
      </c>
    </row>
    <row r="21" spans="5:16" ht="16.149999999999999" customHeight="1" x14ac:dyDescent="0.2">
      <c r="E21" s="43" t="s">
        <v>28</v>
      </c>
      <c r="F21" s="50">
        <v>981.13</v>
      </c>
      <c r="G21" s="51">
        <v>900</v>
      </c>
      <c r="H21" s="50">
        <f>93.75+16.67+12.5</f>
        <v>122.92</v>
      </c>
      <c r="I21" s="50">
        <f>62.5+41.67</f>
        <v>104.17</v>
      </c>
      <c r="J21" s="50">
        <f>83.33+31.25</f>
        <v>114.58</v>
      </c>
      <c r="K21" s="50">
        <f>27.78+31.25</f>
        <v>59.03</v>
      </c>
      <c r="L21" s="51" t="s">
        <v>26</v>
      </c>
      <c r="M21" s="51" t="s">
        <v>26</v>
      </c>
      <c r="N21" s="50">
        <f>SUM(F21:M21)</f>
        <v>2281.8300000000004</v>
      </c>
      <c r="O21" s="52">
        <f t="shared" si="0"/>
        <v>25.518300000000004</v>
      </c>
      <c r="P21" s="44" t="s">
        <v>29</v>
      </c>
    </row>
    <row r="22" spans="5:16" ht="16.149999999999999" customHeight="1" x14ac:dyDescent="0.2">
      <c r="E22" s="43" t="s">
        <v>49</v>
      </c>
      <c r="F22" s="50">
        <v>1765.69</v>
      </c>
      <c r="G22" s="50" t="s">
        <v>26</v>
      </c>
      <c r="H22" s="50">
        <f>93.75</f>
        <v>93.75</v>
      </c>
      <c r="I22" s="50">
        <f>62.5</f>
        <v>62.5</v>
      </c>
      <c r="J22" s="51">
        <f>83.33+31.25</f>
        <v>114.58</v>
      </c>
      <c r="K22" s="51" t="s">
        <v>26</v>
      </c>
      <c r="L22" s="51" t="s">
        <v>26</v>
      </c>
      <c r="M22" s="51" t="s">
        <v>26</v>
      </c>
      <c r="N22" s="50">
        <f>SUM(F22:M22)</f>
        <v>2036.52</v>
      </c>
      <c r="O22" s="52">
        <f t="shared" si="0"/>
        <v>23.065200000000001</v>
      </c>
      <c r="P22" s="44" t="s">
        <v>49</v>
      </c>
    </row>
    <row r="23" spans="5:16" ht="16.149999999999999" customHeight="1" x14ac:dyDescent="0.2">
      <c r="E23" s="43" t="s">
        <v>33</v>
      </c>
      <c r="F23" s="50">
        <v>1713.67</v>
      </c>
      <c r="G23" s="50" t="s">
        <v>26</v>
      </c>
      <c r="H23" s="50">
        <f>93.75</f>
        <v>93.75</v>
      </c>
      <c r="I23" s="50">
        <f>62.5</f>
        <v>62.5</v>
      </c>
      <c r="J23" s="50">
        <f>31.25</f>
        <v>31.25</v>
      </c>
      <c r="K23" s="51" t="s">
        <v>26</v>
      </c>
      <c r="L23" s="51" t="s">
        <v>26</v>
      </c>
      <c r="M23" s="51" t="s">
        <v>26</v>
      </c>
      <c r="N23" s="50">
        <f>SUM(F23:M23)</f>
        <v>1901.17</v>
      </c>
      <c r="O23" s="52">
        <f t="shared" si="0"/>
        <v>21.7117</v>
      </c>
      <c r="P23" s="44" t="s">
        <v>34</v>
      </c>
    </row>
    <row r="24" spans="5:16" ht="16.149999999999999" customHeight="1" x14ac:dyDescent="0.2">
      <c r="E24" s="43" t="s">
        <v>56</v>
      </c>
      <c r="F24" s="50">
        <v>789.19</v>
      </c>
      <c r="G24" s="51">
        <v>700</v>
      </c>
      <c r="H24" s="50">
        <f>93.75+16.67+12.5</f>
        <v>122.92</v>
      </c>
      <c r="I24" s="50">
        <f>62.5+41.67+83.33</f>
        <v>187.5</v>
      </c>
      <c r="J24" s="50">
        <f>31.25</f>
        <v>31.25</v>
      </c>
      <c r="K24" s="50">
        <f>27.78+31.25</f>
        <v>59.03</v>
      </c>
      <c r="L24" s="51" t="s">
        <v>26</v>
      </c>
      <c r="M24" s="51" t="s">
        <v>26</v>
      </c>
      <c r="N24" s="50">
        <f>SUM(F24:M24)</f>
        <v>1889.89</v>
      </c>
      <c r="O24" s="52">
        <f t="shared" si="0"/>
        <v>21.5989</v>
      </c>
      <c r="P24" s="44" t="s">
        <v>57</v>
      </c>
    </row>
    <row r="25" spans="5:16" ht="16.149999999999999" customHeight="1" x14ac:dyDescent="0.2">
      <c r="E25" s="43" t="s">
        <v>60</v>
      </c>
      <c r="F25" s="50">
        <v>698.28</v>
      </c>
      <c r="G25" s="51">
        <v>800</v>
      </c>
      <c r="H25" s="50">
        <f>93.75+16.67+22.22+12.5</f>
        <v>145.13999999999999</v>
      </c>
      <c r="I25" s="50">
        <f>62.5+41.67</f>
        <v>104.17</v>
      </c>
      <c r="J25" s="50">
        <f>31.25</f>
        <v>31.25</v>
      </c>
      <c r="K25" s="50">
        <f>27.78+31.25</f>
        <v>59.03</v>
      </c>
      <c r="L25" s="51" t="s">
        <v>26</v>
      </c>
      <c r="M25" s="51" t="s">
        <v>26</v>
      </c>
      <c r="N25" s="50">
        <f>SUM(F25:M25)</f>
        <v>1837.8700000000001</v>
      </c>
      <c r="O25" s="52">
        <f t="shared" si="0"/>
        <v>21.078700000000001</v>
      </c>
      <c r="P25" s="44" t="s">
        <v>61</v>
      </c>
    </row>
    <row r="26" spans="5:16" ht="16.149999999999999" customHeight="1" x14ac:dyDescent="0.2">
      <c r="E26" s="43" t="s">
        <v>54</v>
      </c>
      <c r="F26" s="50">
        <v>624.44000000000005</v>
      </c>
      <c r="G26" s="50" t="s">
        <v>26</v>
      </c>
      <c r="H26" s="50">
        <f>375+133.33</f>
        <v>508.33000000000004</v>
      </c>
      <c r="I26" s="50" t="s">
        <v>26</v>
      </c>
      <c r="J26" s="50">
        <f>83.33</f>
        <v>83.33</v>
      </c>
      <c r="K26" s="51">
        <f>250</f>
        <v>250</v>
      </c>
      <c r="L26" s="51" t="s">
        <v>26</v>
      </c>
      <c r="M26" s="51">
        <f>250</f>
        <v>250</v>
      </c>
      <c r="N26" s="50">
        <f>SUM(F26:M26)</f>
        <v>1716.1</v>
      </c>
      <c r="O26" s="52">
        <f t="shared" si="0"/>
        <v>19.860999999999997</v>
      </c>
      <c r="P26" s="44" t="s">
        <v>55</v>
      </c>
    </row>
    <row r="27" spans="5:16" ht="16.149999999999999" customHeight="1" x14ac:dyDescent="0.2">
      <c r="E27" s="43" t="s">
        <v>30</v>
      </c>
      <c r="F27" s="50">
        <v>202.78</v>
      </c>
      <c r="G27" s="51">
        <v>300</v>
      </c>
      <c r="H27" s="50">
        <f>83.33+16.67+22.22</f>
        <v>122.22</v>
      </c>
      <c r="I27" s="50">
        <f>41.67</f>
        <v>41.67</v>
      </c>
      <c r="J27" s="51" t="s">
        <v>26</v>
      </c>
      <c r="K27" s="50">
        <f>27.78</f>
        <v>27.78</v>
      </c>
      <c r="L27" s="51">
        <v>1000</v>
      </c>
      <c r="M27" s="51" t="s">
        <v>26</v>
      </c>
      <c r="N27" s="50">
        <f>SUM(F27:M27)</f>
        <v>1694.4499999999998</v>
      </c>
      <c r="O27" s="52">
        <f t="shared" si="0"/>
        <v>19.644499999999997</v>
      </c>
      <c r="P27" s="44" t="s">
        <v>30</v>
      </c>
    </row>
    <row r="28" spans="5:16" ht="16.149999999999999" customHeight="1" x14ac:dyDescent="0.2">
      <c r="E28" s="43" t="s">
        <v>37</v>
      </c>
      <c r="F28" s="50">
        <v>882.5</v>
      </c>
      <c r="G28" s="51">
        <v>400</v>
      </c>
      <c r="H28" s="50">
        <f>93.75+16.67+12.5</f>
        <v>122.92</v>
      </c>
      <c r="I28" s="50">
        <f>62.5+41.67</f>
        <v>104.17</v>
      </c>
      <c r="J28" s="50">
        <f>83.33+31.25</f>
        <v>114.58</v>
      </c>
      <c r="K28" s="51">
        <f>27.78+31.25</f>
        <v>59.03</v>
      </c>
      <c r="L28" s="51" t="s">
        <v>26</v>
      </c>
      <c r="M28" s="51" t="s">
        <v>26</v>
      </c>
      <c r="N28" s="50">
        <f>SUM(F28:M28)</f>
        <v>1683.2</v>
      </c>
      <c r="O28" s="52">
        <f t="shared" si="0"/>
        <v>19.532</v>
      </c>
      <c r="P28" s="44" t="s">
        <v>38</v>
      </c>
    </row>
    <row r="29" spans="5:16" ht="16.149999999999999" customHeight="1" x14ac:dyDescent="0.2">
      <c r="E29" s="43" t="s">
        <v>80</v>
      </c>
      <c r="F29" s="50">
        <v>1074.3</v>
      </c>
      <c r="G29" s="51">
        <v>100</v>
      </c>
      <c r="H29" s="50">
        <f>108.33+83.33+16.67+22.22</f>
        <v>230.54999999999998</v>
      </c>
      <c r="I29" s="50">
        <f>41.67</f>
        <v>41.67</v>
      </c>
      <c r="J29" s="51" t="s">
        <v>26</v>
      </c>
      <c r="K29" s="50">
        <f>27.78</f>
        <v>27.78</v>
      </c>
      <c r="L29" s="51">
        <v>100</v>
      </c>
      <c r="M29" s="51" t="s">
        <v>26</v>
      </c>
      <c r="N29" s="50">
        <f>SUM(F29:M29)</f>
        <v>1574.3</v>
      </c>
      <c r="O29" s="52">
        <f t="shared" si="0"/>
        <v>18.443000000000001</v>
      </c>
      <c r="P29" s="44" t="s">
        <v>84</v>
      </c>
    </row>
    <row r="30" spans="5:16" ht="16.149999999999999" customHeight="1" x14ac:dyDescent="0.2">
      <c r="E30" s="43" t="s">
        <v>25</v>
      </c>
      <c r="F30" s="50">
        <v>1137.92</v>
      </c>
      <c r="G30" s="50" t="s">
        <v>26</v>
      </c>
      <c r="H30" s="50">
        <f>93.75+108.33</f>
        <v>202.07999999999998</v>
      </c>
      <c r="I30" s="50">
        <f>62.5+83.33</f>
        <v>145.82999999999998</v>
      </c>
      <c r="J30" s="50">
        <f>31.25</f>
        <v>31.25</v>
      </c>
      <c r="K30" s="51" t="s">
        <v>26</v>
      </c>
      <c r="L30" s="51" t="s">
        <v>26</v>
      </c>
      <c r="M30" s="51" t="s">
        <v>26</v>
      </c>
      <c r="N30" s="50">
        <f>SUM(F30:M30)</f>
        <v>1517.08</v>
      </c>
      <c r="O30" s="52">
        <f t="shared" si="0"/>
        <v>17.870799999999999</v>
      </c>
      <c r="P30" s="44" t="s">
        <v>27</v>
      </c>
    </row>
    <row r="31" spans="5:16" ht="16.149999999999999" customHeight="1" x14ac:dyDescent="0.2">
      <c r="E31" s="43" t="s">
        <v>81</v>
      </c>
      <c r="F31" s="50">
        <v>1070.97</v>
      </c>
      <c r="G31" s="50" t="s">
        <v>26</v>
      </c>
      <c r="H31" s="50">
        <f>93.75+16.67</f>
        <v>110.42</v>
      </c>
      <c r="I31" s="50">
        <f>62.5+41.67</f>
        <v>104.17</v>
      </c>
      <c r="J31" s="50">
        <f>31.25</f>
        <v>31.25</v>
      </c>
      <c r="K31" s="50">
        <f>27.78+100</f>
        <v>127.78</v>
      </c>
      <c r="L31" s="51" t="s">
        <v>26</v>
      </c>
      <c r="M31" s="51" t="s">
        <v>26</v>
      </c>
      <c r="N31" s="50">
        <f>SUM(F31:M31)</f>
        <v>1444.5900000000001</v>
      </c>
      <c r="O31" s="52">
        <f t="shared" si="0"/>
        <v>17.145900000000001</v>
      </c>
      <c r="P31" s="44" t="s">
        <v>85</v>
      </c>
    </row>
    <row r="32" spans="5:16" ht="16.149999999999999" customHeight="1" x14ac:dyDescent="0.2">
      <c r="E32" s="43" t="s">
        <v>62</v>
      </c>
      <c r="F32" s="50">
        <v>1102.56</v>
      </c>
      <c r="G32" s="50" t="s">
        <v>26</v>
      </c>
      <c r="H32" s="50">
        <f>93.75</f>
        <v>93.75</v>
      </c>
      <c r="I32" s="50">
        <f>62.5</f>
        <v>62.5</v>
      </c>
      <c r="J32" s="50">
        <f>31.25</f>
        <v>31.25</v>
      </c>
      <c r="K32" s="51" t="s">
        <v>26</v>
      </c>
      <c r="L32" s="51" t="s">
        <v>26</v>
      </c>
      <c r="M32" s="51" t="s">
        <v>26</v>
      </c>
      <c r="N32" s="50">
        <f>SUM(F32:M32)</f>
        <v>1290.06</v>
      </c>
      <c r="O32" s="52">
        <f t="shared" si="0"/>
        <v>15.6006</v>
      </c>
      <c r="P32" s="44" t="s">
        <v>63</v>
      </c>
    </row>
    <row r="33" spans="5:16" ht="16.149999999999999" customHeight="1" x14ac:dyDescent="0.2">
      <c r="E33" s="43" t="s">
        <v>47</v>
      </c>
      <c r="F33" s="50">
        <v>882.02</v>
      </c>
      <c r="G33" s="50" t="s">
        <v>26</v>
      </c>
      <c r="H33" s="50">
        <f>108.33+83.33+50</f>
        <v>241.66</v>
      </c>
      <c r="I33" s="50">
        <f>100</f>
        <v>100</v>
      </c>
      <c r="J33" s="51" t="s">
        <v>26</v>
      </c>
      <c r="K33" s="51" t="s">
        <v>26</v>
      </c>
      <c r="L33" s="51" t="s">
        <v>26</v>
      </c>
      <c r="M33" s="51" t="s">
        <v>26</v>
      </c>
      <c r="N33" s="50">
        <f>SUM(F33:M33)</f>
        <v>1223.68</v>
      </c>
      <c r="O33" s="52">
        <f t="shared" si="0"/>
        <v>14.936800000000002</v>
      </c>
      <c r="P33" s="44" t="s">
        <v>48</v>
      </c>
    </row>
    <row r="34" spans="5:16" ht="16.149999999999999" customHeight="1" x14ac:dyDescent="0.2">
      <c r="E34" s="43" t="s">
        <v>79</v>
      </c>
      <c r="F34" s="50">
        <v>303.97000000000003</v>
      </c>
      <c r="G34" s="50" t="s">
        <v>26</v>
      </c>
      <c r="H34" s="50">
        <f>93.75+16.67</f>
        <v>110.42</v>
      </c>
      <c r="I34" s="50">
        <f>62.5+41.67</f>
        <v>104.17</v>
      </c>
      <c r="J34" s="50">
        <f>31.25</f>
        <v>31.25</v>
      </c>
      <c r="K34" s="51">
        <f>27.78</f>
        <v>27.78</v>
      </c>
      <c r="L34" s="51" t="s">
        <v>26</v>
      </c>
      <c r="M34" s="51" t="s">
        <v>26</v>
      </c>
      <c r="N34" s="50">
        <f>SUM(F34:M34)</f>
        <v>577.59</v>
      </c>
      <c r="O34" s="52">
        <f t="shared" si="0"/>
        <v>8.4758999999999993</v>
      </c>
      <c r="P34" s="44" t="s">
        <v>83</v>
      </c>
    </row>
    <row r="35" spans="5:16" ht="16.149999999999999" customHeight="1" x14ac:dyDescent="0.2">
      <c r="E35" s="45" t="s">
        <v>78</v>
      </c>
      <c r="F35" s="46">
        <v>276.75</v>
      </c>
      <c r="G35" s="46" t="s">
        <v>26</v>
      </c>
      <c r="H35" s="46">
        <f>83.33+16.67</f>
        <v>100</v>
      </c>
      <c r="I35" s="46">
        <f>41.67</f>
        <v>41.67</v>
      </c>
      <c r="J35" s="47" t="s">
        <v>26</v>
      </c>
      <c r="K35" s="46">
        <f>27.78</f>
        <v>27.78</v>
      </c>
      <c r="L35" s="47" t="s">
        <v>26</v>
      </c>
      <c r="M35" s="47" t="s">
        <v>26</v>
      </c>
      <c r="N35" s="46">
        <f>SUM(F35:M35)</f>
        <v>446.20000000000005</v>
      </c>
      <c r="O35" s="48">
        <f t="shared" si="0"/>
        <v>7.1620000000000008</v>
      </c>
      <c r="P35" s="49" t="s">
        <v>82</v>
      </c>
    </row>
    <row r="36" spans="5:16" ht="5.25" customHeight="1" x14ac:dyDescent="0.2">
      <c r="E36" s="6"/>
      <c r="F36" s="7"/>
      <c r="G36" s="7"/>
      <c r="H36" s="7"/>
      <c r="I36" s="7"/>
      <c r="J36" s="7"/>
      <c r="K36" s="7"/>
      <c r="L36" s="7"/>
      <c r="M36" s="7"/>
      <c r="N36" s="20"/>
      <c r="O36" s="8"/>
      <c r="P36" s="9"/>
    </row>
    <row r="37" spans="5:16" ht="16.149999999999999" customHeight="1" x14ac:dyDescent="0.2">
      <c r="E37" s="2" t="s">
        <v>68</v>
      </c>
      <c r="F37" s="16">
        <f t="shared" ref="F37:M37" si="1">SUM(F8:F35)</f>
        <v>44285.009999999995</v>
      </c>
      <c r="G37" s="16">
        <f t="shared" si="1"/>
        <v>12000</v>
      </c>
      <c r="H37" s="16">
        <f t="shared" si="1"/>
        <v>5449.9860000000008</v>
      </c>
      <c r="I37" s="16">
        <f t="shared" si="1"/>
        <v>2600.0600000000004</v>
      </c>
      <c r="J37" s="16">
        <f t="shared" si="1"/>
        <v>2599.9599999999996</v>
      </c>
      <c r="K37" s="16">
        <f t="shared" si="1"/>
        <v>2600.0300000000011</v>
      </c>
      <c r="L37" s="16">
        <f t="shared" si="1"/>
        <v>4750</v>
      </c>
      <c r="M37" s="16">
        <f t="shared" si="1"/>
        <v>1600</v>
      </c>
      <c r="N37" s="16">
        <f>SUM(F37:M37)</f>
        <v>75885.046000000002</v>
      </c>
      <c r="O37" s="16" t="s">
        <v>69</v>
      </c>
      <c r="P37" s="3" t="s">
        <v>70</v>
      </c>
    </row>
    <row r="38" spans="5:16" ht="16.149999999999999" customHeight="1" x14ac:dyDescent="0.2">
      <c r="E38" s="2" t="s">
        <v>71</v>
      </c>
      <c r="F38" s="16">
        <f t="shared" ref="F38:N38" si="2">F37/100</f>
        <v>442.85009999999994</v>
      </c>
      <c r="G38" s="16">
        <f t="shared" si="2"/>
        <v>120</v>
      </c>
      <c r="H38" s="16">
        <f t="shared" si="2"/>
        <v>54.499860000000005</v>
      </c>
      <c r="I38" s="16">
        <f t="shared" si="2"/>
        <v>26.000600000000006</v>
      </c>
      <c r="J38" s="16">
        <f t="shared" si="2"/>
        <v>25.999599999999997</v>
      </c>
      <c r="K38" s="16">
        <f t="shared" si="2"/>
        <v>26.00030000000001</v>
      </c>
      <c r="L38" s="16">
        <f t="shared" si="2"/>
        <v>47.5</v>
      </c>
      <c r="M38" s="16">
        <f t="shared" si="2"/>
        <v>16</v>
      </c>
      <c r="N38" s="16">
        <f t="shared" si="2"/>
        <v>758.85046</v>
      </c>
      <c r="O38" s="21">
        <f>SUM(O8:O35)</f>
        <v>834.45045999999991</v>
      </c>
      <c r="P38" s="3" t="s">
        <v>71</v>
      </c>
    </row>
    <row r="39" spans="5:16" ht="16.149999999999999" customHeight="1" x14ac:dyDescent="0.2">
      <c r="E39" s="10"/>
      <c r="F39" s="21" t="s">
        <v>72</v>
      </c>
      <c r="G39" s="22"/>
      <c r="H39" s="18"/>
      <c r="J39" s="22"/>
      <c r="K39" s="22"/>
      <c r="L39" s="16">
        <v>555</v>
      </c>
      <c r="M39" s="22"/>
      <c r="N39" s="16" t="s">
        <v>73</v>
      </c>
      <c r="O39" s="21">
        <f>L39/100</f>
        <v>5.55</v>
      </c>
      <c r="P39" s="3" t="s">
        <v>71</v>
      </c>
    </row>
    <row r="40" spans="5:16" ht="16.149999999999999" customHeight="1" thickBot="1" x14ac:dyDescent="0.25">
      <c r="E40" s="11"/>
      <c r="F40" s="23"/>
      <c r="G40" s="23"/>
      <c r="H40" s="24"/>
      <c r="I40" s="19" t="s">
        <v>1</v>
      </c>
      <c r="J40" s="19" t="s">
        <v>74</v>
      </c>
      <c r="K40" s="19">
        <v>2024</v>
      </c>
      <c r="L40" s="23"/>
      <c r="M40" s="23"/>
      <c r="N40" s="24" t="s">
        <v>75</v>
      </c>
      <c r="O40" s="25">
        <f>O38+O39</f>
        <v>840.00045999999986</v>
      </c>
      <c r="P40" s="12" t="s">
        <v>71</v>
      </c>
    </row>
    <row r="41" spans="5:16" ht="16.149999999999999" customHeight="1" x14ac:dyDescent="0.2">
      <c r="E41" s="13"/>
      <c r="F41" s="13"/>
      <c r="G41" s="13"/>
      <c r="H41" s="14"/>
      <c r="I41" s="13"/>
      <c r="J41" s="13"/>
      <c r="K41" s="13"/>
      <c r="L41" s="13"/>
    </row>
    <row r="42" spans="5:16" ht="16.149999999999999" customHeight="1" x14ac:dyDescent="0.2">
      <c r="E42" s="13"/>
      <c r="F42" s="14"/>
      <c r="G42" s="13"/>
      <c r="H42" s="14"/>
      <c r="I42" s="13"/>
      <c r="J42" s="13"/>
      <c r="K42" s="13"/>
      <c r="L42" s="13"/>
      <c r="M42" s="13"/>
    </row>
    <row r="43" spans="5:16" ht="16.149999999999999" customHeight="1" x14ac:dyDescent="0.2">
      <c r="E43" s="37"/>
      <c r="F43" s="15"/>
      <c r="H43" s="5"/>
    </row>
  </sheetData>
  <sheetProtection selectLockedCells="1" selectUnlockedCells="1"/>
  <sortState xmlns:xlrd2="http://schemas.microsoft.com/office/spreadsheetml/2017/richdata2" ref="E8:P35">
    <sortCondition descending="1" ref="N8:N35"/>
  </sortState>
  <printOptions gridLines="1"/>
  <pageMargins left="0.6692913385826772" right="0.23622047244094491" top="0.98425196850393704" bottom="0.98425196850393704" header="0.51181102362204722" footer="0.51181102362204722"/>
  <pageSetup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Edu Keijser</cp:lastModifiedBy>
  <cp:lastPrinted>2021-07-20T22:50:34Z</cp:lastPrinted>
  <dcterms:created xsi:type="dcterms:W3CDTF">2002-07-29T22:28:05Z</dcterms:created>
  <dcterms:modified xsi:type="dcterms:W3CDTF">2024-07-24T20:32:50Z</dcterms:modified>
</cp:coreProperties>
</file>