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ur\uitslagen\"/>
    </mc:Choice>
  </mc:AlternateContent>
  <xr:revisionPtr revIDLastSave="0" documentId="13_ncr:1_{6CE42FC2-26CF-4344-AAA4-E1BBE0C681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1" l="1"/>
  <c r="O28" i="1"/>
  <c r="O29" i="1"/>
  <c r="O30" i="1"/>
  <c r="O20" i="1"/>
  <c r="O21" i="1"/>
  <c r="O22" i="1"/>
  <c r="O23" i="1"/>
  <c r="O24" i="1"/>
  <c r="O25" i="1"/>
  <c r="O26" i="1"/>
  <c r="O27" i="1"/>
  <c r="O19" i="1"/>
  <c r="O18" i="1"/>
  <c r="O17" i="1"/>
  <c r="O10" i="1"/>
  <c r="O11" i="1"/>
  <c r="O12" i="1"/>
  <c r="O13" i="1"/>
  <c r="O14" i="1"/>
  <c r="O15" i="1"/>
  <c r="O16" i="1"/>
  <c r="O9" i="1"/>
  <c r="O8" i="1"/>
  <c r="H27" i="1"/>
  <c r="H11" i="1"/>
  <c r="H24" i="1"/>
  <c r="H30" i="1"/>
  <c r="H13" i="1"/>
  <c r="H19" i="1"/>
  <c r="H31" i="1"/>
  <c r="H25" i="1"/>
  <c r="H29" i="1"/>
  <c r="H8" i="1"/>
  <c r="K27" i="1"/>
  <c r="K8" i="1"/>
  <c r="K11" i="1"/>
  <c r="K23" i="1"/>
  <c r="K13" i="1"/>
  <c r="K22" i="1"/>
  <c r="K21" i="1"/>
  <c r="K20" i="1"/>
  <c r="K18" i="1"/>
  <c r="K26" i="1"/>
  <c r="K19" i="1"/>
  <c r="K25" i="1"/>
  <c r="K9" i="1"/>
  <c r="K16" i="1"/>
  <c r="K17" i="1"/>
  <c r="K14" i="1"/>
  <c r="K29" i="1"/>
  <c r="K15" i="1"/>
  <c r="K31" i="1"/>
  <c r="K24" i="1"/>
  <c r="K28" i="1"/>
  <c r="K30" i="1"/>
  <c r="J10" i="1"/>
  <c r="J19" i="1"/>
  <c r="J8" i="1"/>
  <c r="J20" i="1"/>
  <c r="J9" i="1"/>
  <c r="J14" i="1"/>
  <c r="J15" i="1"/>
  <c r="J11" i="1"/>
  <c r="J30" i="1"/>
  <c r="J23" i="1"/>
  <c r="J13" i="1"/>
  <c r="J22" i="1"/>
  <c r="J21" i="1"/>
  <c r="J18" i="1"/>
  <c r="J26" i="1"/>
  <c r="J31" i="1"/>
  <c r="J25" i="1"/>
  <c r="J29" i="1"/>
  <c r="J12" i="1"/>
  <c r="I23" i="1"/>
  <c r="I18" i="1"/>
  <c r="I16" i="1"/>
  <c r="I11" i="1"/>
  <c r="I30" i="1"/>
  <c r="I13" i="1"/>
  <c r="I22" i="1"/>
  <c r="I21" i="1"/>
  <c r="I26" i="1"/>
  <c r="I31" i="1"/>
  <c r="I25" i="1"/>
  <c r="I29" i="1"/>
  <c r="I9" i="1"/>
  <c r="I17" i="1"/>
  <c r="I15" i="1"/>
  <c r="I8" i="1"/>
  <c r="I20" i="1"/>
  <c r="I19" i="1"/>
  <c r="I14" i="1"/>
  <c r="H10" i="1"/>
  <c r="I24" i="1"/>
  <c r="H28" i="1"/>
  <c r="H16" i="1"/>
  <c r="H23" i="1"/>
  <c r="H14" i="1"/>
  <c r="H17" i="1"/>
  <c r="H9" i="1"/>
  <c r="H22" i="1"/>
  <c r="H21" i="1"/>
  <c r="H18" i="1"/>
  <c r="H26" i="1"/>
  <c r="H15" i="1"/>
  <c r="H20" i="1"/>
  <c r="O35" i="1"/>
  <c r="N12" i="1" l="1"/>
  <c r="N15" i="1" l="1"/>
  <c r="N29" i="1"/>
  <c r="N14" i="1"/>
  <c r="N17" i="1"/>
  <c r="N16" i="1"/>
  <c r="N9" i="1"/>
  <c r="N25" i="1"/>
  <c r="N31" i="1"/>
  <c r="N19" i="1"/>
  <c r="N26" i="1"/>
  <c r="N18" i="1"/>
  <c r="N28" i="1"/>
  <c r="N20" i="1"/>
  <c r="N10" i="1"/>
  <c r="N21" i="1"/>
  <c r="N22" i="1"/>
  <c r="N13" i="1"/>
  <c r="N23" i="1"/>
  <c r="N30" i="1"/>
  <c r="N24" i="1"/>
  <c r="N11" i="1"/>
  <c r="N8" i="1"/>
  <c r="N27" i="1"/>
  <c r="F33" i="1" l="1"/>
  <c r="F34" i="1" s="1"/>
  <c r="G33" i="1"/>
  <c r="G34" i="1" s="1"/>
  <c r="L33" i="1" l="1"/>
  <c r="L34" i="1" s="1"/>
  <c r="M33" i="1"/>
  <c r="M34" i="1" s="1"/>
  <c r="J33" i="1"/>
  <c r="J34" i="1" s="1"/>
  <c r="I33" i="1"/>
  <c r="I34" i="1" s="1"/>
  <c r="K33" i="1"/>
  <c r="K34" i="1" s="1"/>
  <c r="H33" i="1"/>
  <c r="H34" i="1" s="1"/>
  <c r="O34" i="1" l="1"/>
  <c r="O36" i="1" s="1"/>
  <c r="N33" i="1"/>
  <c r="N34" i="1" s="1"/>
</calcChain>
</file>

<file path=xl/sharedStrings.xml><?xml version="1.0" encoding="utf-8"?>
<sst xmlns="http://schemas.openxmlformats.org/spreadsheetml/2006/main" count="147" uniqueCount="81">
  <si>
    <t xml:space="preserve"> </t>
  </si>
  <si>
    <t>Totaal</t>
  </si>
  <si>
    <t>6</t>
  </si>
  <si>
    <t>7</t>
  </si>
  <si>
    <t>8</t>
  </si>
  <si>
    <t>9</t>
  </si>
  <si>
    <t>10</t>
  </si>
  <si>
    <t>TOTAAL</t>
  </si>
  <si>
    <t>Dagpr.</t>
  </si>
  <si>
    <t>ETPT</t>
  </si>
  <si>
    <t>Eind AK</t>
  </si>
  <si>
    <t>Berg</t>
  </si>
  <si>
    <t>Groene</t>
  </si>
  <si>
    <t>Witte</t>
  </si>
  <si>
    <t>Beste 5</t>
  </si>
  <si>
    <t>Origina</t>
  </si>
  <si>
    <t>Naam</t>
  </si>
  <si>
    <t>CUM</t>
  </si>
  <si>
    <t>Indiv.</t>
  </si>
  <si>
    <t>Trui</t>
  </si>
  <si>
    <t>in tijd</t>
  </si>
  <si>
    <t>liteit</t>
  </si>
  <si>
    <t>CENTEN</t>
  </si>
  <si>
    <t>EURO</t>
  </si>
  <si>
    <t>Nm.</t>
  </si>
  <si>
    <t>Rob E</t>
  </si>
  <si>
    <t>***</t>
  </si>
  <si>
    <t>RbE</t>
  </si>
  <si>
    <t>Jeroen</t>
  </si>
  <si>
    <t>Jer</t>
  </si>
  <si>
    <t>Edu</t>
  </si>
  <si>
    <t>David</t>
  </si>
  <si>
    <t>Dav</t>
  </si>
  <si>
    <t>Eddie</t>
  </si>
  <si>
    <t>Edd</t>
  </si>
  <si>
    <t>Diana</t>
  </si>
  <si>
    <t>Dia</t>
  </si>
  <si>
    <t>Rogier</t>
  </si>
  <si>
    <t>Rog</t>
  </si>
  <si>
    <t>Marcel</t>
  </si>
  <si>
    <t>Mcl</t>
  </si>
  <si>
    <t>Albert</t>
  </si>
  <si>
    <t>Alb</t>
  </si>
  <si>
    <t>Pieter</t>
  </si>
  <si>
    <t>Pie</t>
  </si>
  <si>
    <t>Hans</t>
  </si>
  <si>
    <t>Han</t>
  </si>
  <si>
    <t>Rob M</t>
  </si>
  <si>
    <t>RbM</t>
  </si>
  <si>
    <t>Wim</t>
  </si>
  <si>
    <t>John</t>
  </si>
  <si>
    <t>Joh</t>
  </si>
  <si>
    <t>Vincent</t>
  </si>
  <si>
    <t>Vin</t>
  </si>
  <si>
    <t>Frank</t>
  </si>
  <si>
    <t>Fra</t>
  </si>
  <si>
    <t>Josine</t>
  </si>
  <si>
    <t>Jos</t>
  </si>
  <si>
    <t>Erik B</t>
  </si>
  <si>
    <t>ErB</t>
  </si>
  <si>
    <t>Erik D</t>
  </si>
  <si>
    <t>ErD</t>
  </si>
  <si>
    <t>Fred</t>
  </si>
  <si>
    <t>Fre</t>
  </si>
  <si>
    <t>Maarten</t>
  </si>
  <si>
    <t>Maa</t>
  </si>
  <si>
    <t>Kika</t>
  </si>
  <si>
    <t>Kik</t>
  </si>
  <si>
    <t>Monique</t>
  </si>
  <si>
    <t>Mon</t>
  </si>
  <si>
    <t>CENT</t>
  </si>
  <si>
    <t>&lt;---</t>
  </si>
  <si>
    <t>CNT</t>
  </si>
  <si>
    <t>Euro</t>
  </si>
  <si>
    <t>De Strijkstok</t>
  </si>
  <si>
    <t>----&gt;</t>
  </si>
  <si>
    <t>LPBV</t>
  </si>
  <si>
    <t>:</t>
  </si>
  <si>
    <t>Tom</t>
  </si>
  <si>
    <t>23</t>
  </si>
  <si>
    <t>-€0,70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</si>
</sst>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Courier"/>
      <family val="3"/>
    </font>
    <font>
      <sz val="12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2" fontId="3" fillId="0" borderId="3" xfId="0" applyNumberFormat="1" applyFont="1" applyBorder="1" applyAlignment="1" applyProtection="1">
      <alignment horizontal="center" vertical="top"/>
      <protection locked="0"/>
    </xf>
    <xf numFmtId="2" fontId="3" fillId="0" borderId="4" xfId="0" applyNumberFormat="1" applyFont="1" applyBorder="1" applyAlignment="1" applyProtection="1">
      <alignment horizontal="center" vertical="top"/>
      <protection locked="0"/>
    </xf>
    <xf numFmtId="2" fontId="3" fillId="0" borderId="5" xfId="0" applyNumberFormat="1" applyFont="1" applyBorder="1" applyAlignment="1" applyProtection="1">
      <alignment horizontal="center" vertical="top"/>
      <protection locked="0"/>
    </xf>
    <xf numFmtId="2" fontId="4" fillId="2" borderId="5" xfId="0" applyNumberFormat="1" applyFont="1" applyFill="1" applyBorder="1" applyAlignment="1" applyProtection="1">
      <alignment horizontal="center" vertical="top"/>
      <protection locked="0"/>
    </xf>
    <xf numFmtId="2" fontId="1" fillId="0" borderId="0" xfId="0" applyNumberFormat="1" applyFont="1" applyAlignment="1" applyProtection="1">
      <alignment horizontal="center" vertical="top"/>
      <protection locked="0"/>
    </xf>
    <xf numFmtId="2" fontId="3" fillId="2" borderId="4" xfId="0" applyNumberFormat="1" applyFont="1" applyFill="1" applyBorder="1" applyAlignment="1" applyProtection="1">
      <alignment horizontal="center" vertical="top"/>
      <protection locked="0"/>
    </xf>
    <xf numFmtId="2" fontId="3" fillId="2" borderId="0" xfId="0" applyNumberFormat="1" applyFont="1" applyFill="1" applyAlignment="1" applyProtection="1">
      <alignment horizontal="center" vertical="top"/>
      <protection locked="0"/>
    </xf>
    <xf numFmtId="2" fontId="3" fillId="2" borderId="0" xfId="0" quotePrefix="1" applyNumberFormat="1" applyFont="1" applyFill="1" applyAlignment="1" applyProtection="1">
      <alignment horizontal="center" vertical="top"/>
      <protection locked="0"/>
    </xf>
    <xf numFmtId="2" fontId="3" fillId="2" borderId="5" xfId="0" quotePrefix="1" applyNumberFormat="1" applyFont="1" applyFill="1" applyBorder="1" applyAlignment="1" applyProtection="1">
      <alignment horizontal="center" vertical="top"/>
      <protection locked="0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6" xfId="0" applyFont="1" applyBorder="1" applyAlignment="1" applyProtection="1">
      <alignment horizontal="center" vertical="top"/>
      <protection locked="0"/>
    </xf>
    <xf numFmtId="2" fontId="3" fillId="0" borderId="8" xfId="0" applyNumberFormat="1" applyFont="1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/>
      <protection locked="0"/>
    </xf>
    <xf numFmtId="2" fontId="0" fillId="0" borderId="0" xfId="0" applyNumberFormat="1" applyAlignment="1" applyProtection="1">
      <alignment horizontal="center" vertical="top"/>
      <protection locked="0"/>
    </xf>
    <xf numFmtId="2" fontId="2" fillId="0" borderId="0" xfId="0" applyNumberFormat="1" applyFont="1" applyAlignment="1" applyProtection="1">
      <alignment horizontal="center" vertical="top"/>
      <protection locked="0"/>
    </xf>
    <xf numFmtId="2" fontId="3" fillId="0" borderId="0" xfId="0" applyNumberFormat="1" applyFont="1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" fontId="3" fillId="0" borderId="7" xfId="0" applyNumberFormat="1" applyFont="1" applyBorder="1" applyAlignment="1">
      <alignment horizontal="center" vertical="center"/>
    </xf>
    <xf numFmtId="2" fontId="3" fillId="2" borderId="0" xfId="0" applyNumberFormat="1" applyFont="1" applyFill="1" applyAlignment="1">
      <alignment horizontal="center" vertical="top"/>
    </xf>
    <xf numFmtId="2" fontId="5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2" fontId="3" fillId="0" borderId="7" xfId="0" applyNumberFormat="1" applyFont="1" applyBorder="1" applyAlignment="1">
      <alignment horizontal="center" vertical="top"/>
    </xf>
    <xf numFmtId="2" fontId="5" fillId="0" borderId="7" xfId="0" applyNumberFormat="1" applyFont="1" applyBorder="1" applyAlignment="1">
      <alignment horizontal="center" vertical="top"/>
    </xf>
    <xf numFmtId="2" fontId="3" fillId="0" borderId="2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top"/>
    </xf>
    <xf numFmtId="2" fontId="6" fillId="0" borderId="0" xfId="0" applyNumberFormat="1" applyFont="1" applyAlignment="1">
      <alignment horizontal="center" vertical="top"/>
    </xf>
    <xf numFmtId="2" fontId="5" fillId="0" borderId="0" xfId="0" quotePrefix="1" applyNumberFormat="1" applyFont="1" applyAlignment="1">
      <alignment horizontal="center" vertical="top"/>
    </xf>
    <xf numFmtId="2" fontId="4" fillId="2" borderId="4" xfId="0" applyNumberFormat="1" applyFont="1" applyFill="1" applyBorder="1" applyAlignment="1">
      <alignment horizontal="center" vertical="top"/>
    </xf>
    <xf numFmtId="2" fontId="4" fillId="2" borderId="0" xfId="0" applyNumberFormat="1" applyFont="1" applyFill="1" applyAlignment="1">
      <alignment horizontal="center" vertical="top"/>
    </xf>
    <xf numFmtId="2" fontId="4" fillId="2" borderId="0" xfId="0" quotePrefix="1" applyNumberFormat="1" applyFont="1" applyFill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2" fontId="3" fillId="0" borderId="9" xfId="0" applyNumberFormat="1" applyFont="1" applyBorder="1" applyAlignment="1">
      <alignment horizontal="center" vertical="top"/>
    </xf>
    <xf numFmtId="2" fontId="3" fillId="0" borderId="9" xfId="0" applyNumberFormat="1" applyFont="1" applyBorder="1" applyAlignment="1" applyProtection="1">
      <alignment horizontal="center" vertical="top"/>
      <protection locked="0"/>
    </xf>
    <xf numFmtId="2" fontId="5" fillId="0" borderId="9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2" fontId="3" fillId="0" borderId="0" xfId="0" applyNumberFormat="1" applyFont="1" applyBorder="1" applyAlignment="1" applyProtection="1">
      <alignment horizontal="center" vertical="top"/>
      <protection locked="0"/>
    </xf>
    <xf numFmtId="2" fontId="3" fillId="0" borderId="0" xfId="0" applyNumberFormat="1" applyFont="1" applyBorder="1" applyAlignment="1">
      <alignment horizontal="center" vertical="top"/>
    </xf>
    <xf numFmtId="2" fontId="5" fillId="0" borderId="0" xfId="0" applyNumberFormat="1" applyFont="1" applyBorder="1" applyAlignment="1">
      <alignment horizontal="center" vertical="top"/>
    </xf>
    <xf numFmtId="2" fontId="3" fillId="0" borderId="10" xfId="0" applyNumberFormat="1" applyFont="1" applyBorder="1" applyAlignment="1" applyProtection="1">
      <alignment horizontal="center" vertical="top"/>
      <protection locked="0"/>
    </xf>
    <xf numFmtId="2" fontId="3" fillId="0" borderId="11" xfId="0" applyNumberFormat="1" applyFont="1" applyBorder="1" applyAlignment="1">
      <alignment horizontal="center" vertical="top"/>
    </xf>
    <xf numFmtId="2" fontId="3" fillId="0" borderId="11" xfId="0" applyNumberFormat="1" applyFont="1" applyBorder="1" applyAlignment="1" applyProtection="1">
      <alignment horizontal="center" vertical="top"/>
      <protection locked="0"/>
    </xf>
    <xf numFmtId="2" fontId="5" fillId="0" borderId="11" xfId="0" applyNumberFormat="1" applyFont="1" applyBorder="1" applyAlignment="1">
      <alignment horizontal="center" vertical="top"/>
    </xf>
    <xf numFmtId="2" fontId="5" fillId="0" borderId="12" xfId="0" applyNumberFormat="1" applyFont="1" applyBorder="1" applyAlignment="1" applyProtection="1">
      <alignment horizontal="center" vertical="top"/>
      <protection locked="0"/>
    </xf>
    <xf numFmtId="2" fontId="3" fillId="0" borderId="13" xfId="0" applyNumberFormat="1" applyFont="1" applyBorder="1" applyAlignment="1" applyProtection="1">
      <alignment horizontal="center" vertical="top"/>
      <protection locked="0"/>
    </xf>
    <xf numFmtId="2" fontId="5" fillId="0" borderId="14" xfId="0" applyNumberFormat="1" applyFont="1" applyBorder="1" applyAlignment="1" applyProtection="1">
      <alignment horizontal="center" vertical="top"/>
      <protection locked="0"/>
    </xf>
    <xf numFmtId="2" fontId="3" fillId="0" borderId="15" xfId="0" applyNumberFormat="1" applyFont="1" applyBorder="1" applyAlignment="1" applyProtection="1">
      <alignment horizontal="center" vertical="top"/>
      <protection locked="0"/>
    </xf>
    <xf numFmtId="2" fontId="5" fillId="0" borderId="16" xfId="0" applyNumberFormat="1" applyFont="1" applyBorder="1" applyAlignment="1" applyProtection="1">
      <alignment horizontal="center" vertical="top"/>
      <protection locked="0"/>
    </xf>
    <xf numFmtId="2" fontId="3" fillId="0" borderId="17" xfId="0" applyNumberFormat="1" applyFont="1" applyBorder="1" applyAlignment="1" applyProtection="1">
      <alignment horizontal="center" vertical="top"/>
      <protection locked="0"/>
    </xf>
    <xf numFmtId="2" fontId="3" fillId="0" borderId="18" xfId="0" applyNumberFormat="1" applyFont="1" applyBorder="1" applyAlignment="1">
      <alignment horizontal="center" vertical="top"/>
    </xf>
    <xf numFmtId="2" fontId="3" fillId="0" borderId="18" xfId="0" applyNumberFormat="1" applyFont="1" applyBorder="1" applyAlignment="1" applyProtection="1">
      <alignment horizontal="center" vertical="top"/>
      <protection locked="0"/>
    </xf>
    <xf numFmtId="2" fontId="5" fillId="0" borderId="18" xfId="0" applyNumberFormat="1" applyFont="1" applyBorder="1" applyAlignment="1">
      <alignment horizontal="center" vertical="top"/>
    </xf>
    <xf numFmtId="2" fontId="5" fillId="0" borderId="19" xfId="0" applyNumberFormat="1" applyFont="1" applyBorder="1" applyAlignment="1" applyProtection="1">
      <alignment horizontal="center" vertical="top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3:P39"/>
  <sheetViews>
    <sheetView tabSelected="1" topLeftCell="C1" zoomScale="110" zoomScaleNormal="110" workbookViewId="0">
      <pane ySplit="2280" topLeftCell="A6" activePane="bottomLeft"/>
      <selection activeCell="F6" sqref="F6"/>
      <selection pane="bottomLeft" activeCell="F11" sqref="F11"/>
    </sheetView>
  </sheetViews>
  <sheetFormatPr defaultRowHeight="12.75" x14ac:dyDescent="0.2"/>
  <cols>
    <col min="1" max="4" width="9.140625" style="17"/>
    <col min="5" max="5" width="8.28515625" style="17" customWidth="1"/>
    <col min="6" max="7" width="8.5703125" style="17" customWidth="1"/>
    <col min="8" max="9" width="7.85546875" style="17" customWidth="1"/>
    <col min="10" max="11" width="7.7109375" style="17" customWidth="1"/>
    <col min="12" max="12" width="8.140625" style="17" customWidth="1"/>
    <col min="13" max="13" width="8.7109375" style="17" customWidth="1"/>
    <col min="14" max="14" width="8.85546875" style="17" customWidth="1"/>
    <col min="15" max="15" width="8.140625" style="17" customWidth="1"/>
    <col min="16" max="16" width="6.140625" style="17" customWidth="1"/>
    <col min="17" max="17" width="4.5703125" style="17" customWidth="1"/>
    <col min="18" max="86" width="12.7109375" style="17" customWidth="1"/>
    <col min="87" max="16384" width="9.140625" style="17"/>
  </cols>
  <sheetData>
    <row r="3" spans="5:16" ht="13.5" thickBot="1" x14ac:dyDescent="0.25"/>
    <row r="4" spans="5:16" ht="16.149999999999999" customHeight="1" x14ac:dyDescent="0.2">
      <c r="E4" s="26" t="s">
        <v>0</v>
      </c>
      <c r="F4" s="27" t="s">
        <v>1</v>
      </c>
      <c r="G4" s="28" t="s">
        <v>2</v>
      </c>
      <c r="H4" s="28" t="s">
        <v>3</v>
      </c>
      <c r="I4" s="28" t="s">
        <v>4</v>
      </c>
      <c r="J4" s="28" t="s">
        <v>5</v>
      </c>
      <c r="K4" s="28" t="s">
        <v>6</v>
      </c>
      <c r="L4" s="28">
        <v>11</v>
      </c>
      <c r="M4" s="28">
        <v>12</v>
      </c>
      <c r="N4" s="29" t="s">
        <v>7</v>
      </c>
      <c r="O4" s="29" t="s">
        <v>7</v>
      </c>
      <c r="P4" s="1"/>
    </row>
    <row r="5" spans="5:16" ht="16.149999999999999" customHeight="1" x14ac:dyDescent="0.2">
      <c r="E5" s="30"/>
      <c r="F5" s="16" t="s">
        <v>8</v>
      </c>
      <c r="G5" s="16" t="s">
        <v>9</v>
      </c>
      <c r="H5" s="16" t="s">
        <v>10</v>
      </c>
      <c r="I5" s="16" t="s">
        <v>11</v>
      </c>
      <c r="J5" s="16" t="s">
        <v>12</v>
      </c>
      <c r="K5" s="16" t="s">
        <v>13</v>
      </c>
      <c r="L5" s="16" t="s">
        <v>14</v>
      </c>
      <c r="M5" s="16" t="s">
        <v>15</v>
      </c>
      <c r="N5" s="31"/>
      <c r="O5" s="32" t="s">
        <v>80</v>
      </c>
      <c r="P5" s="3"/>
    </row>
    <row r="6" spans="5:16" ht="16.149999999999999" customHeight="1" x14ac:dyDescent="0.2">
      <c r="E6" s="30" t="s">
        <v>16</v>
      </c>
      <c r="F6" s="36" t="s">
        <v>79</v>
      </c>
      <c r="G6" s="16" t="s">
        <v>17</v>
      </c>
      <c r="H6" s="16" t="s">
        <v>18</v>
      </c>
      <c r="I6" s="16" t="s">
        <v>19</v>
      </c>
      <c r="J6" s="16" t="s">
        <v>19</v>
      </c>
      <c r="K6" s="16" t="s">
        <v>19</v>
      </c>
      <c r="L6" s="16" t="s">
        <v>20</v>
      </c>
      <c r="M6" s="16" t="s">
        <v>21</v>
      </c>
      <c r="N6" s="31" t="s">
        <v>22</v>
      </c>
      <c r="O6" s="31" t="s">
        <v>23</v>
      </c>
      <c r="P6" s="3" t="s">
        <v>24</v>
      </c>
    </row>
    <row r="7" spans="5:16" ht="3.75" customHeight="1" x14ac:dyDescent="0.2">
      <c r="E7" s="33"/>
      <c r="F7" s="34"/>
      <c r="G7" s="34"/>
      <c r="H7" s="34"/>
      <c r="I7" s="34"/>
      <c r="J7" s="34"/>
      <c r="K7" s="35"/>
      <c r="L7" s="34"/>
      <c r="M7" s="34"/>
      <c r="N7" s="34"/>
      <c r="O7" s="34"/>
      <c r="P7" s="4"/>
    </row>
    <row r="8" spans="5:16" ht="16.149999999999999" customHeight="1" x14ac:dyDescent="0.2">
      <c r="E8" s="44" t="s">
        <v>52</v>
      </c>
      <c r="F8" s="45">
        <v>4235.1499999999996</v>
      </c>
      <c r="G8" s="46">
        <v>1500</v>
      </c>
      <c r="H8" s="45">
        <f>250+75+50+10</f>
        <v>385</v>
      </c>
      <c r="I8" s="45">
        <f>141.67+83.33</f>
        <v>225</v>
      </c>
      <c r="J8" s="45">
        <f>58.33</f>
        <v>58.33</v>
      </c>
      <c r="K8" s="45">
        <f>58.33+50+5.56</f>
        <v>113.89</v>
      </c>
      <c r="L8" s="46">
        <v>1000</v>
      </c>
      <c r="M8" s="46" t="s">
        <v>26</v>
      </c>
      <c r="N8" s="45">
        <f t="shared" ref="N8:N31" si="0">SUM(F8:M8)</f>
        <v>7517.37</v>
      </c>
      <c r="O8" s="47">
        <f>(N8/100)-0.7</f>
        <v>74.473699999999994</v>
      </c>
      <c r="P8" s="48" t="s">
        <v>53</v>
      </c>
    </row>
    <row r="9" spans="5:16" ht="16.149999999999999" customHeight="1" x14ac:dyDescent="0.2">
      <c r="E9" s="49" t="s">
        <v>58</v>
      </c>
      <c r="F9" s="42">
        <v>4527.97</v>
      </c>
      <c r="G9" s="41">
        <v>1200</v>
      </c>
      <c r="H9" s="42">
        <f>250+75+65+166.67</f>
        <v>556.66999999999996</v>
      </c>
      <c r="I9" s="42">
        <f>83.33+116.67</f>
        <v>200</v>
      </c>
      <c r="J9" s="42">
        <f>58.33</f>
        <v>58.33</v>
      </c>
      <c r="K9" s="42">
        <f>50+5.56</f>
        <v>55.56</v>
      </c>
      <c r="L9" s="41">
        <v>850</v>
      </c>
      <c r="M9" s="41" t="s">
        <v>26</v>
      </c>
      <c r="N9" s="42">
        <f t="shared" si="0"/>
        <v>7448.5300000000007</v>
      </c>
      <c r="O9" s="43">
        <f>(N9/100)-0.7</f>
        <v>73.785300000000007</v>
      </c>
      <c r="P9" s="50" t="s">
        <v>59</v>
      </c>
    </row>
    <row r="10" spans="5:16" ht="16.149999999999999" customHeight="1" x14ac:dyDescent="0.2">
      <c r="E10" s="49" t="s">
        <v>66</v>
      </c>
      <c r="F10" s="42">
        <v>4341</v>
      </c>
      <c r="G10" s="41" t="s">
        <v>26</v>
      </c>
      <c r="H10" s="41">
        <f>75</f>
        <v>75</v>
      </c>
      <c r="I10" s="42" t="s">
        <v>26</v>
      </c>
      <c r="J10" s="42">
        <f>100</f>
        <v>100</v>
      </c>
      <c r="K10" s="41" t="s">
        <v>26</v>
      </c>
      <c r="L10" s="41" t="s">
        <v>26</v>
      </c>
      <c r="M10" s="41">
        <v>750</v>
      </c>
      <c r="N10" s="42">
        <f t="shared" si="0"/>
        <v>5266</v>
      </c>
      <c r="O10" s="43">
        <f t="shared" ref="O10:O16" si="1">(N10/100)-0.7</f>
        <v>51.959999999999994</v>
      </c>
      <c r="P10" s="50" t="s">
        <v>67</v>
      </c>
    </row>
    <row r="11" spans="5:16" ht="15" customHeight="1" x14ac:dyDescent="0.2">
      <c r="E11" s="49" t="s">
        <v>37</v>
      </c>
      <c r="F11" s="42">
        <v>3439.31</v>
      </c>
      <c r="G11" s="41">
        <v>1300</v>
      </c>
      <c r="H11" s="42">
        <f>90.91+166.67+10</f>
        <v>267.58</v>
      </c>
      <c r="I11" s="42">
        <f>18.18</f>
        <v>18.18</v>
      </c>
      <c r="J11" s="42">
        <f>45.45</f>
        <v>45.45</v>
      </c>
      <c r="K11" s="41">
        <f>77.27+5.56</f>
        <v>82.83</v>
      </c>
      <c r="L11" s="41" t="s">
        <v>26</v>
      </c>
      <c r="M11" s="41" t="s">
        <v>26</v>
      </c>
      <c r="N11" s="42">
        <f t="shared" si="0"/>
        <v>5153.3499999999995</v>
      </c>
      <c r="O11" s="43">
        <f t="shared" si="1"/>
        <v>50.833499999999994</v>
      </c>
      <c r="P11" s="50" t="s">
        <v>38</v>
      </c>
    </row>
    <row r="12" spans="5:16" ht="16.149999999999999" customHeight="1" x14ac:dyDescent="0.2">
      <c r="E12" s="49" t="s">
        <v>78</v>
      </c>
      <c r="F12" s="42">
        <v>3701.14</v>
      </c>
      <c r="G12" s="41" t="s">
        <v>26</v>
      </c>
      <c r="H12" s="41" t="s">
        <v>26</v>
      </c>
      <c r="I12" s="42" t="s">
        <v>26</v>
      </c>
      <c r="J12" s="42">
        <f>850</f>
        <v>850</v>
      </c>
      <c r="K12" s="41" t="s">
        <v>26</v>
      </c>
      <c r="L12" s="41" t="s">
        <v>26</v>
      </c>
      <c r="M12" s="41">
        <v>500</v>
      </c>
      <c r="N12" s="42">
        <f t="shared" si="0"/>
        <v>5051.1399999999994</v>
      </c>
      <c r="O12" s="43">
        <f t="shared" si="1"/>
        <v>49.811399999999992</v>
      </c>
      <c r="P12" s="50" t="s">
        <v>78</v>
      </c>
    </row>
    <row r="13" spans="5:16" ht="16.149999999999999" customHeight="1" x14ac:dyDescent="0.2">
      <c r="E13" s="49" t="s">
        <v>68</v>
      </c>
      <c r="F13" s="42">
        <v>2108.02</v>
      </c>
      <c r="G13" s="41">
        <v>1400</v>
      </c>
      <c r="H13" s="42">
        <f>90.91+50+16.67+10</f>
        <v>167.57999999999998</v>
      </c>
      <c r="I13" s="42">
        <f>141.67+18.18</f>
        <v>159.85</v>
      </c>
      <c r="J13" s="42">
        <f>45.45</f>
        <v>45.45</v>
      </c>
      <c r="K13" s="42">
        <f>77.27+58.33+50+5.56</f>
        <v>191.16</v>
      </c>
      <c r="L13" s="41">
        <v>750</v>
      </c>
      <c r="M13" s="41" t="s">
        <v>26</v>
      </c>
      <c r="N13" s="42">
        <f t="shared" si="0"/>
        <v>4822.0599999999995</v>
      </c>
      <c r="O13" s="43">
        <f t="shared" si="1"/>
        <v>47.520599999999995</v>
      </c>
      <c r="P13" s="50" t="s">
        <v>69</v>
      </c>
    </row>
    <row r="14" spans="5:16" ht="16.149999999999999" customHeight="1" x14ac:dyDescent="0.2">
      <c r="E14" s="49" t="s">
        <v>35</v>
      </c>
      <c r="F14" s="42">
        <v>1794.22</v>
      </c>
      <c r="G14" s="41">
        <v>1100</v>
      </c>
      <c r="H14" s="42">
        <f>250+75+65+50</f>
        <v>440</v>
      </c>
      <c r="I14" s="42">
        <f>141.67+83.33</f>
        <v>225</v>
      </c>
      <c r="J14" s="42">
        <f>58.33</f>
        <v>58.33</v>
      </c>
      <c r="K14" s="42">
        <f>50+58.33+5.56</f>
        <v>113.89</v>
      </c>
      <c r="L14" s="41">
        <v>400</v>
      </c>
      <c r="M14" s="41" t="s">
        <v>26</v>
      </c>
      <c r="N14" s="42">
        <f t="shared" si="0"/>
        <v>4131.4400000000005</v>
      </c>
      <c r="O14" s="43">
        <f t="shared" si="1"/>
        <v>40.614400000000003</v>
      </c>
      <c r="P14" s="50" t="s">
        <v>36</v>
      </c>
    </row>
    <row r="15" spans="5:16" ht="16.149999999999999" customHeight="1" x14ac:dyDescent="0.2">
      <c r="E15" s="49" t="s">
        <v>41</v>
      </c>
      <c r="F15" s="42">
        <v>2097.4</v>
      </c>
      <c r="G15" s="41">
        <v>700</v>
      </c>
      <c r="H15" s="42">
        <f>250+75+65</f>
        <v>390</v>
      </c>
      <c r="I15" s="42">
        <f>83.33+116.67</f>
        <v>200</v>
      </c>
      <c r="J15" s="42">
        <f>58.33</f>
        <v>58.33</v>
      </c>
      <c r="K15" s="42">
        <f>50+5.56</f>
        <v>55.56</v>
      </c>
      <c r="L15" s="41">
        <v>200</v>
      </c>
      <c r="M15" s="41" t="s">
        <v>26</v>
      </c>
      <c r="N15" s="42">
        <f t="shared" si="0"/>
        <v>3701.29</v>
      </c>
      <c r="O15" s="43">
        <f t="shared" si="1"/>
        <v>36.312899999999999</v>
      </c>
      <c r="P15" s="50" t="s">
        <v>42</v>
      </c>
    </row>
    <row r="16" spans="5:16" ht="16.149999999999999" customHeight="1" thickBot="1" x14ac:dyDescent="0.25">
      <c r="E16" s="51" t="s">
        <v>30</v>
      </c>
      <c r="F16" s="37">
        <v>1639.32</v>
      </c>
      <c r="G16" s="38">
        <v>900</v>
      </c>
      <c r="H16" s="37">
        <f>75+50+200</f>
        <v>325</v>
      </c>
      <c r="I16" s="37">
        <f>141.67+33.33</f>
        <v>175</v>
      </c>
      <c r="J16" s="37" t="s">
        <v>26</v>
      </c>
      <c r="K16" s="37">
        <f>58.33+50+5.56</f>
        <v>113.89</v>
      </c>
      <c r="L16" s="38">
        <v>500</v>
      </c>
      <c r="M16" s="38" t="s">
        <v>26</v>
      </c>
      <c r="N16" s="37">
        <f t="shared" si="0"/>
        <v>3653.2099999999996</v>
      </c>
      <c r="O16" s="39">
        <f t="shared" si="1"/>
        <v>35.83209999999999</v>
      </c>
      <c r="P16" s="52" t="s">
        <v>30</v>
      </c>
    </row>
    <row r="17" spans="5:16" ht="16.149999999999999" customHeight="1" thickTop="1" x14ac:dyDescent="0.2">
      <c r="E17" s="49" t="s">
        <v>33</v>
      </c>
      <c r="F17" s="42">
        <v>1649.9</v>
      </c>
      <c r="G17" s="41">
        <v>500</v>
      </c>
      <c r="H17" s="42">
        <f>75+65+400</f>
        <v>540</v>
      </c>
      <c r="I17" s="42">
        <f>116.67</f>
        <v>116.67</v>
      </c>
      <c r="J17" s="42" t="s">
        <v>26</v>
      </c>
      <c r="K17" s="42">
        <f>50+5.56</f>
        <v>55.56</v>
      </c>
      <c r="L17" s="41">
        <v>100</v>
      </c>
      <c r="M17" s="41" t="s">
        <v>26</v>
      </c>
      <c r="N17" s="42">
        <f t="shared" si="0"/>
        <v>2962.13</v>
      </c>
      <c r="O17" s="43">
        <f>(N17/100)-0.7</f>
        <v>28.921300000000002</v>
      </c>
      <c r="P17" s="50" t="s">
        <v>34</v>
      </c>
    </row>
    <row r="18" spans="5:16" ht="16.149999999999999" customHeight="1" x14ac:dyDescent="0.2">
      <c r="E18" s="49" t="s">
        <v>28</v>
      </c>
      <c r="F18" s="42">
        <v>1573.67</v>
      </c>
      <c r="G18" s="41">
        <v>1000</v>
      </c>
      <c r="H18" s="42">
        <f>90.91+65</f>
        <v>155.91</v>
      </c>
      <c r="I18" s="42">
        <f>18.18+33.33</f>
        <v>51.51</v>
      </c>
      <c r="J18" s="42">
        <f>45.45</f>
        <v>45.45</v>
      </c>
      <c r="K18" s="42">
        <f>77.27+50+5.56</f>
        <v>132.82999999999998</v>
      </c>
      <c r="L18" s="41" t="s">
        <v>26</v>
      </c>
      <c r="M18" s="41" t="s">
        <v>26</v>
      </c>
      <c r="N18" s="42">
        <f t="shared" si="0"/>
        <v>2959.37</v>
      </c>
      <c r="O18" s="43">
        <f>(N18/100)-0.7</f>
        <v>28.893699999999999</v>
      </c>
      <c r="P18" s="50" t="s">
        <v>29</v>
      </c>
    </row>
    <row r="19" spans="5:16" ht="16.149999999999999" customHeight="1" x14ac:dyDescent="0.2">
      <c r="E19" s="49" t="s">
        <v>62</v>
      </c>
      <c r="F19" s="42">
        <v>2028.06</v>
      </c>
      <c r="G19" s="41" t="s">
        <v>26</v>
      </c>
      <c r="H19" s="42">
        <f>250+10</f>
        <v>260</v>
      </c>
      <c r="I19" s="42">
        <f>83.33</f>
        <v>83.33</v>
      </c>
      <c r="J19" s="42">
        <f>58.33+200</f>
        <v>258.33</v>
      </c>
      <c r="K19" s="42">
        <f>5.56</f>
        <v>5.56</v>
      </c>
      <c r="L19" s="41" t="s">
        <v>26</v>
      </c>
      <c r="M19" s="41" t="s">
        <v>26</v>
      </c>
      <c r="N19" s="42">
        <f t="shared" si="0"/>
        <v>2635.2799999999997</v>
      </c>
      <c r="O19" s="43">
        <f>(N19/100)-0.7</f>
        <v>25.652799999999999</v>
      </c>
      <c r="P19" s="50" t="s">
        <v>63</v>
      </c>
    </row>
    <row r="20" spans="5:16" ht="16.149999999999999" customHeight="1" x14ac:dyDescent="0.2">
      <c r="E20" s="49" t="s">
        <v>56</v>
      </c>
      <c r="F20" s="42">
        <v>1698.06</v>
      </c>
      <c r="G20" s="41" t="s">
        <v>26</v>
      </c>
      <c r="H20" s="42">
        <f>250</f>
        <v>250</v>
      </c>
      <c r="I20" s="42">
        <f>83.33</f>
        <v>83.33</v>
      </c>
      <c r="J20" s="42">
        <f>58.33</f>
        <v>58.33</v>
      </c>
      <c r="K20" s="41">
        <f>5.56</f>
        <v>5.56</v>
      </c>
      <c r="L20" s="41" t="s">
        <v>26</v>
      </c>
      <c r="M20" s="41">
        <v>250</v>
      </c>
      <c r="N20" s="42">
        <f t="shared" si="0"/>
        <v>2345.2799999999997</v>
      </c>
      <c r="O20" s="43">
        <f t="shared" ref="O20:O30" si="2">(N20/100)-0.7</f>
        <v>22.752799999999997</v>
      </c>
      <c r="P20" s="50" t="s">
        <v>57</v>
      </c>
    </row>
    <row r="21" spans="5:16" ht="16.149999999999999" customHeight="1" x14ac:dyDescent="0.2">
      <c r="E21" s="49" t="s">
        <v>64</v>
      </c>
      <c r="F21" s="42">
        <v>1197.83</v>
      </c>
      <c r="G21" s="41">
        <v>600</v>
      </c>
      <c r="H21" s="42">
        <f>90.91+65</f>
        <v>155.91</v>
      </c>
      <c r="I21" s="42">
        <f>18.18</f>
        <v>18.18</v>
      </c>
      <c r="J21" s="42">
        <f>45.45</f>
        <v>45.45</v>
      </c>
      <c r="K21" s="42">
        <f>77.27+50+5.56</f>
        <v>132.82999999999998</v>
      </c>
      <c r="L21" s="41" t="s">
        <v>26</v>
      </c>
      <c r="M21" s="41" t="s">
        <v>26</v>
      </c>
      <c r="N21" s="42">
        <f t="shared" si="0"/>
        <v>2150.2000000000003</v>
      </c>
      <c r="O21" s="43">
        <f t="shared" si="2"/>
        <v>20.802000000000003</v>
      </c>
      <c r="P21" s="50" t="s">
        <v>65</v>
      </c>
    </row>
    <row r="22" spans="5:16" ht="16.149999999999999" customHeight="1" x14ac:dyDescent="0.2">
      <c r="E22" s="49" t="s">
        <v>39</v>
      </c>
      <c r="F22" s="42">
        <v>995.33</v>
      </c>
      <c r="G22" s="41">
        <v>800</v>
      </c>
      <c r="H22" s="42">
        <f>90.91+65</f>
        <v>155.91</v>
      </c>
      <c r="I22" s="42">
        <f>18.18</f>
        <v>18.18</v>
      </c>
      <c r="J22" s="42">
        <f>45.45</f>
        <v>45.45</v>
      </c>
      <c r="K22" s="42">
        <f>77.27+50+5.56</f>
        <v>132.82999999999998</v>
      </c>
      <c r="L22" s="41" t="s">
        <v>26</v>
      </c>
      <c r="M22" s="41" t="s">
        <v>26</v>
      </c>
      <c r="N22" s="42">
        <f t="shared" si="0"/>
        <v>2147.7000000000003</v>
      </c>
      <c r="O22" s="43">
        <f t="shared" si="2"/>
        <v>20.777000000000005</v>
      </c>
      <c r="P22" s="50" t="s">
        <v>40</v>
      </c>
    </row>
    <row r="23" spans="5:16" ht="16.149999999999999" customHeight="1" x14ac:dyDescent="0.2">
      <c r="E23" s="49" t="s">
        <v>43</v>
      </c>
      <c r="F23" s="42">
        <v>1171.25</v>
      </c>
      <c r="G23" s="41">
        <v>300</v>
      </c>
      <c r="H23" s="42">
        <f>90.91+65+50</f>
        <v>205.91</v>
      </c>
      <c r="I23" s="42">
        <f>141.67+18.18+33.33</f>
        <v>193.18</v>
      </c>
      <c r="J23" s="42">
        <f>45.45</f>
        <v>45.45</v>
      </c>
      <c r="K23" s="42">
        <f>77.27+50+58.33+5.56</f>
        <v>191.16</v>
      </c>
      <c r="L23" s="41" t="s">
        <v>26</v>
      </c>
      <c r="M23" s="41" t="s">
        <v>26</v>
      </c>
      <c r="N23" s="42">
        <f t="shared" si="0"/>
        <v>2106.9500000000003</v>
      </c>
      <c r="O23" s="43">
        <f t="shared" si="2"/>
        <v>20.369500000000002</v>
      </c>
      <c r="P23" s="50" t="s">
        <v>44</v>
      </c>
    </row>
    <row r="24" spans="5:16" ht="16.149999999999999" customHeight="1" x14ac:dyDescent="0.2">
      <c r="E24" s="49" t="s">
        <v>47</v>
      </c>
      <c r="F24" s="42">
        <v>1419.48</v>
      </c>
      <c r="G24" s="41" t="s">
        <v>26</v>
      </c>
      <c r="H24" s="42">
        <f>75+50+10</f>
        <v>135</v>
      </c>
      <c r="I24" s="42">
        <f>141.67</f>
        <v>141.66999999999999</v>
      </c>
      <c r="J24" s="42" t="s">
        <v>26</v>
      </c>
      <c r="K24" s="42">
        <f>58.33</f>
        <v>58.33</v>
      </c>
      <c r="L24" s="41" t="s">
        <v>26</v>
      </c>
      <c r="M24" s="41" t="s">
        <v>26</v>
      </c>
      <c r="N24" s="42">
        <f t="shared" si="0"/>
        <v>1754.48</v>
      </c>
      <c r="O24" s="43">
        <f t="shared" si="2"/>
        <v>16.844799999999999</v>
      </c>
      <c r="P24" s="50" t="s">
        <v>48</v>
      </c>
    </row>
    <row r="25" spans="5:16" ht="16.149999999999999" customHeight="1" x14ac:dyDescent="0.2">
      <c r="E25" s="49" t="s">
        <v>60</v>
      </c>
      <c r="F25" s="42">
        <v>1085.17</v>
      </c>
      <c r="G25" s="41">
        <v>200</v>
      </c>
      <c r="H25" s="42">
        <f>90.91+10</f>
        <v>100.91</v>
      </c>
      <c r="I25" s="42">
        <f>18.18</f>
        <v>18.18</v>
      </c>
      <c r="J25" s="42">
        <f>45.45</f>
        <v>45.45</v>
      </c>
      <c r="K25" s="42">
        <f>77.27+5.56</f>
        <v>82.83</v>
      </c>
      <c r="L25" s="41" t="s">
        <v>26</v>
      </c>
      <c r="M25" s="41" t="s">
        <v>26</v>
      </c>
      <c r="N25" s="42">
        <f t="shared" si="0"/>
        <v>1532.5400000000002</v>
      </c>
      <c r="O25" s="43">
        <f t="shared" si="2"/>
        <v>14.625400000000003</v>
      </c>
      <c r="P25" s="50" t="s">
        <v>61</v>
      </c>
    </row>
    <row r="26" spans="5:16" ht="16.149999999999999" customHeight="1" x14ac:dyDescent="0.2">
      <c r="E26" s="49" t="s">
        <v>45</v>
      </c>
      <c r="F26" s="42">
        <v>662.57</v>
      </c>
      <c r="G26" s="41">
        <v>400</v>
      </c>
      <c r="H26" s="42">
        <f>90.91+65</f>
        <v>155.91</v>
      </c>
      <c r="I26" s="42">
        <f>18.18</f>
        <v>18.18</v>
      </c>
      <c r="J26" s="42">
        <f>45.45</f>
        <v>45.45</v>
      </c>
      <c r="K26" s="42">
        <f>77.27+50+5.56</f>
        <v>132.82999999999998</v>
      </c>
      <c r="L26" s="41" t="s">
        <v>26</v>
      </c>
      <c r="M26" s="41" t="s">
        <v>26</v>
      </c>
      <c r="N26" s="42">
        <f t="shared" si="0"/>
        <v>1414.9400000000003</v>
      </c>
      <c r="O26" s="43">
        <f t="shared" si="2"/>
        <v>13.449400000000004</v>
      </c>
      <c r="P26" s="50" t="s">
        <v>46</v>
      </c>
    </row>
    <row r="27" spans="5:16" ht="16.149999999999999" customHeight="1" x14ac:dyDescent="0.2">
      <c r="E27" s="49" t="s">
        <v>49</v>
      </c>
      <c r="F27" s="42">
        <v>908.94</v>
      </c>
      <c r="G27" s="41">
        <v>100</v>
      </c>
      <c r="H27" s="42">
        <f>75+166.67+10</f>
        <v>251.67</v>
      </c>
      <c r="I27" s="42" t="s">
        <v>26</v>
      </c>
      <c r="J27" s="41" t="s">
        <v>26</v>
      </c>
      <c r="K27" s="42">
        <f>5.56</f>
        <v>5.56</v>
      </c>
      <c r="L27" s="41" t="s">
        <v>26</v>
      </c>
      <c r="M27" s="41" t="s">
        <v>26</v>
      </c>
      <c r="N27" s="42">
        <f t="shared" si="0"/>
        <v>1266.17</v>
      </c>
      <c r="O27" s="43">
        <f t="shared" si="2"/>
        <v>11.961700000000002</v>
      </c>
      <c r="P27" s="50" t="s">
        <v>49</v>
      </c>
    </row>
    <row r="28" spans="5:16" ht="16.149999999999999" customHeight="1" x14ac:dyDescent="0.2">
      <c r="E28" s="49" t="s">
        <v>50</v>
      </c>
      <c r="F28" s="42">
        <v>536.02</v>
      </c>
      <c r="G28" s="41" t="s">
        <v>26</v>
      </c>
      <c r="H28" s="42">
        <f>75+65+16.67</f>
        <v>156.67000000000002</v>
      </c>
      <c r="I28" s="41" t="s">
        <v>26</v>
      </c>
      <c r="J28" s="41" t="s">
        <v>26</v>
      </c>
      <c r="K28" s="41">
        <f>50</f>
        <v>50</v>
      </c>
      <c r="L28" s="41">
        <v>300</v>
      </c>
      <c r="M28" s="41" t="s">
        <v>26</v>
      </c>
      <c r="N28" s="42">
        <f t="shared" si="0"/>
        <v>1042.69</v>
      </c>
      <c r="O28" s="43">
        <f t="shared" si="2"/>
        <v>9.7269000000000005</v>
      </c>
      <c r="P28" s="50" t="s">
        <v>51</v>
      </c>
    </row>
    <row r="29" spans="5:16" ht="16.149999999999999" customHeight="1" x14ac:dyDescent="0.2">
      <c r="E29" s="49" t="s">
        <v>31</v>
      </c>
      <c r="F29" s="42">
        <v>680.32</v>
      </c>
      <c r="G29" s="41" t="s">
        <v>26</v>
      </c>
      <c r="H29" s="42">
        <f>90.91+10</f>
        <v>100.91</v>
      </c>
      <c r="I29" s="42">
        <f>18.18</f>
        <v>18.18</v>
      </c>
      <c r="J29" s="42">
        <f>45.45</f>
        <v>45.45</v>
      </c>
      <c r="K29" s="42">
        <f>77.27+5.56</f>
        <v>82.83</v>
      </c>
      <c r="L29" s="41" t="s">
        <v>26</v>
      </c>
      <c r="M29" s="41" t="s">
        <v>26</v>
      </c>
      <c r="N29" s="42">
        <f t="shared" si="0"/>
        <v>927.69</v>
      </c>
      <c r="O29" s="43">
        <f t="shared" si="2"/>
        <v>8.576900000000002</v>
      </c>
      <c r="P29" s="50" t="s">
        <v>32</v>
      </c>
    </row>
    <row r="30" spans="5:16" ht="16.149999999999999" customHeight="1" x14ac:dyDescent="0.2">
      <c r="E30" s="49" t="s">
        <v>25</v>
      </c>
      <c r="F30" s="42">
        <v>431.43</v>
      </c>
      <c r="G30" s="41" t="s">
        <v>26</v>
      </c>
      <c r="H30" s="42">
        <f>90.91+10</f>
        <v>100.91</v>
      </c>
      <c r="I30" s="42">
        <f>18.18</f>
        <v>18.18</v>
      </c>
      <c r="J30" s="42">
        <f>45.45</f>
        <v>45.45</v>
      </c>
      <c r="K30" s="42">
        <f>77.27</f>
        <v>77.27</v>
      </c>
      <c r="L30" s="41" t="s">
        <v>26</v>
      </c>
      <c r="M30" s="41">
        <v>100</v>
      </c>
      <c r="N30" s="42">
        <f t="shared" si="0"/>
        <v>773.24</v>
      </c>
      <c r="O30" s="43">
        <f t="shared" si="2"/>
        <v>7.0324</v>
      </c>
      <c r="P30" s="50" t="s">
        <v>27</v>
      </c>
    </row>
    <row r="31" spans="5:16" ht="16.149999999999999" customHeight="1" x14ac:dyDescent="0.2">
      <c r="E31" s="53" t="s">
        <v>54</v>
      </c>
      <c r="F31" s="54">
        <v>388.45</v>
      </c>
      <c r="G31" s="55" t="s">
        <v>26</v>
      </c>
      <c r="H31" s="54">
        <f>90.91+16.67+10</f>
        <v>117.58</v>
      </c>
      <c r="I31" s="54">
        <f>18.18</f>
        <v>18.18</v>
      </c>
      <c r="J31" s="54">
        <f>45.45</f>
        <v>45.45</v>
      </c>
      <c r="K31" s="55">
        <f>77.27+50</f>
        <v>127.27</v>
      </c>
      <c r="L31" s="55" t="s">
        <v>26</v>
      </c>
      <c r="M31" s="55" t="s">
        <v>26</v>
      </c>
      <c r="N31" s="54">
        <f t="shared" si="0"/>
        <v>696.93</v>
      </c>
      <c r="O31" s="56">
        <f>(N31/100)-0.7</f>
        <v>6.2692999999999994</v>
      </c>
      <c r="P31" s="57" t="s">
        <v>55</v>
      </c>
    </row>
    <row r="32" spans="5:16" ht="5.25" customHeight="1" x14ac:dyDescent="0.2">
      <c r="E32" s="6"/>
      <c r="F32" s="7"/>
      <c r="G32" s="7"/>
      <c r="H32" s="7"/>
      <c r="I32" s="7"/>
      <c r="J32" s="7"/>
      <c r="K32" s="7"/>
      <c r="L32" s="7"/>
      <c r="M32" s="7"/>
      <c r="N32" s="20"/>
      <c r="O32" s="8"/>
      <c r="P32" s="9"/>
    </row>
    <row r="33" spans="5:16" ht="16.149999999999999" customHeight="1" x14ac:dyDescent="0.2">
      <c r="E33" s="2" t="s">
        <v>70</v>
      </c>
      <c r="F33" s="16">
        <f t="shared" ref="F33:M33" si="3">SUM(F8:F31)</f>
        <v>44310.01</v>
      </c>
      <c r="G33" s="16">
        <f t="shared" si="3"/>
        <v>12000</v>
      </c>
      <c r="H33" s="16">
        <f t="shared" si="3"/>
        <v>5450.0299999999988</v>
      </c>
      <c r="I33" s="16">
        <f t="shared" si="3"/>
        <v>1999.9800000000005</v>
      </c>
      <c r="J33" s="16">
        <f t="shared" si="3"/>
        <v>1999.9300000000003</v>
      </c>
      <c r="K33" s="16">
        <f t="shared" si="3"/>
        <v>2000.0299999999993</v>
      </c>
      <c r="L33" s="16">
        <f t="shared" si="3"/>
        <v>4100</v>
      </c>
      <c r="M33" s="16">
        <f t="shared" si="3"/>
        <v>1600</v>
      </c>
      <c r="N33" s="16">
        <f>SUM(F33:M33)</f>
        <v>73459.98000000001</v>
      </c>
      <c r="O33" s="16" t="s">
        <v>71</v>
      </c>
      <c r="P33" s="3" t="s">
        <v>72</v>
      </c>
    </row>
    <row r="34" spans="5:16" ht="16.149999999999999" customHeight="1" x14ac:dyDescent="0.2">
      <c r="E34" s="2" t="s">
        <v>73</v>
      </c>
      <c r="F34" s="16">
        <f t="shared" ref="F34:N34" si="4">F33/100</f>
        <v>443.1001</v>
      </c>
      <c r="G34" s="16">
        <f t="shared" si="4"/>
        <v>120</v>
      </c>
      <c r="H34" s="16">
        <f t="shared" si="4"/>
        <v>54.500299999999989</v>
      </c>
      <c r="I34" s="16">
        <f t="shared" si="4"/>
        <v>19.999800000000004</v>
      </c>
      <c r="J34" s="16">
        <f t="shared" si="4"/>
        <v>19.999300000000002</v>
      </c>
      <c r="K34" s="16">
        <f t="shared" si="4"/>
        <v>20.000299999999992</v>
      </c>
      <c r="L34" s="16">
        <f t="shared" si="4"/>
        <v>41</v>
      </c>
      <c r="M34" s="16">
        <f t="shared" si="4"/>
        <v>16</v>
      </c>
      <c r="N34" s="16">
        <f t="shared" si="4"/>
        <v>734.59980000000007</v>
      </c>
      <c r="O34" s="21">
        <f>SUM(O8:O31)</f>
        <v>717.79979999999989</v>
      </c>
      <c r="P34" s="3" t="s">
        <v>73</v>
      </c>
    </row>
    <row r="35" spans="5:16" ht="16.149999999999999" customHeight="1" x14ac:dyDescent="0.2">
      <c r="E35" s="10"/>
      <c r="F35" s="21" t="s">
        <v>74</v>
      </c>
      <c r="G35" s="22"/>
      <c r="H35" s="18"/>
      <c r="J35" s="22"/>
      <c r="K35" s="22"/>
      <c r="L35" s="16">
        <v>220</v>
      </c>
      <c r="M35" s="22"/>
      <c r="N35" s="16" t="s">
        <v>75</v>
      </c>
      <c r="O35" s="21">
        <f>L35/100</f>
        <v>2.2000000000000002</v>
      </c>
      <c r="P35" s="3" t="s">
        <v>73</v>
      </c>
    </row>
    <row r="36" spans="5:16" ht="16.149999999999999" customHeight="1" thickBot="1" x14ac:dyDescent="0.25">
      <c r="E36" s="11"/>
      <c r="F36" s="23"/>
      <c r="G36" s="23"/>
      <c r="H36" s="24"/>
      <c r="I36" s="19" t="s">
        <v>1</v>
      </c>
      <c r="J36" s="19" t="s">
        <v>76</v>
      </c>
      <c r="K36" s="19">
        <v>2023</v>
      </c>
      <c r="L36" s="23"/>
      <c r="M36" s="23"/>
      <c r="N36" s="24" t="s">
        <v>77</v>
      </c>
      <c r="O36" s="25">
        <f>O34+O35</f>
        <v>719.99979999999994</v>
      </c>
      <c r="P36" s="12" t="s">
        <v>73</v>
      </c>
    </row>
    <row r="37" spans="5:16" ht="16.149999999999999" customHeight="1" x14ac:dyDescent="0.2">
      <c r="E37" s="13"/>
      <c r="F37" s="13"/>
      <c r="G37" s="13"/>
      <c r="H37" s="14"/>
      <c r="I37" s="13"/>
      <c r="J37" s="13"/>
      <c r="K37" s="13"/>
      <c r="L37" s="13"/>
    </row>
    <row r="38" spans="5:16" ht="16.149999999999999" customHeight="1" x14ac:dyDescent="0.2">
      <c r="E38" s="13"/>
      <c r="F38" s="14"/>
      <c r="G38" s="13"/>
      <c r="H38" s="14"/>
      <c r="I38" s="13"/>
      <c r="J38" s="13"/>
      <c r="K38" s="13"/>
      <c r="L38" s="13"/>
      <c r="M38" s="13"/>
    </row>
    <row r="39" spans="5:16" ht="16.149999999999999" customHeight="1" x14ac:dyDescent="0.2">
      <c r="E39" s="40"/>
      <c r="F39" s="15"/>
      <c r="H39" s="5"/>
    </row>
  </sheetData>
  <sheetProtection selectLockedCells="1" selectUnlockedCells="1"/>
  <sortState xmlns:xlrd2="http://schemas.microsoft.com/office/spreadsheetml/2017/richdata2" ref="E8:P31">
    <sortCondition descending="1" ref="O8:O31"/>
  </sortState>
  <printOptions gridLines="1"/>
  <pageMargins left="0.6692913385826772" right="0.23622047244094491" top="0.98425196850393704" bottom="0.98425196850393704" header="0.51181102362204722" footer="0.51181102362204722"/>
  <pageSetup scale="73" orientation="portrait" horizontalDpi="300" verticalDpi="300" r:id="rId1"/>
  <headerFooter alignWithMargins="0"/>
  <ignoredErrors>
    <ignoredError sqref="K16 J12" formula="1"/>
    <ignoredError sqref="K28 K31 H10 K11 K20" unlockedFormula="1"/>
    <ignoredError sqref="F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</dc:creator>
  <cp:lastModifiedBy>Edu Keijser</cp:lastModifiedBy>
  <cp:lastPrinted>2021-07-20T22:50:34Z</cp:lastPrinted>
  <dcterms:created xsi:type="dcterms:W3CDTF">2002-07-29T22:28:05Z</dcterms:created>
  <dcterms:modified xsi:type="dcterms:W3CDTF">2023-07-30T22:09:08Z</dcterms:modified>
</cp:coreProperties>
</file>